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canadiancattlemens-my.sharepoint.com/personal/davidsont_beefresearch_ca/Documents/Attachments/"/>
    </mc:Choice>
  </mc:AlternateContent>
  <xr:revisionPtr revIDLastSave="0" documentId="8_{AFA8EA43-8F10-4A31-88D1-51EAD76F4AF8}" xr6:coauthVersionLast="47" xr6:coauthVersionMax="47" xr10:uidLastSave="{00000000-0000-0000-0000-000000000000}"/>
  <bookViews>
    <workbookView xWindow="28680" yWindow="-120" windowWidth="29040" windowHeight="15720" xr2:uid="{DB4387BC-C9C7-4357-9873-17850B9FB2B6}"/>
  </bookViews>
  <sheets>
    <sheet name="Forage COP" sheetId="1" r:id="rId1"/>
  </sheets>
  <definedNames>
    <definedName name="_xlnm.Print_Area" localSheetId="0">'Forage COP'!$A$1:$U$202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7" i="1" l="1"/>
  <c r="Q130" i="1"/>
  <c r="N130" i="1"/>
  <c r="Q119" i="1"/>
  <c r="N119" i="1"/>
  <c r="Q129" i="1"/>
  <c r="N129" i="1"/>
  <c r="Q128" i="1"/>
  <c r="N128" i="1"/>
  <c r="K128" i="1"/>
  <c r="H128" i="1"/>
  <c r="E128" i="1"/>
  <c r="Q124" i="1"/>
  <c r="Q123" i="1"/>
  <c r="N124" i="1"/>
  <c r="N123" i="1"/>
  <c r="Q117" i="1" l="1"/>
  <c r="N117" i="1"/>
  <c r="K117" i="1"/>
  <c r="H117" i="1"/>
  <c r="E117" i="1"/>
  <c r="Q115" i="1"/>
  <c r="Q114" i="1"/>
  <c r="N115" i="1"/>
  <c r="N114" i="1"/>
  <c r="K115" i="1"/>
  <c r="K114" i="1"/>
  <c r="H115" i="1"/>
  <c r="H114" i="1"/>
  <c r="E115" i="1"/>
  <c r="E114" i="1"/>
  <c r="N125" i="1"/>
  <c r="Q125" i="1"/>
  <c r="E97" i="1" l="1"/>
  <c r="E86" i="1" l="1"/>
  <c r="T22" i="1" l="1"/>
  <c r="T19" i="1"/>
  <c r="H123" i="1" s="1"/>
  <c r="E124" i="1" l="1"/>
  <c r="H124" i="1"/>
  <c r="H125" i="1" s="1"/>
  <c r="K124" i="1"/>
  <c r="E123" i="1"/>
  <c r="E125" i="1" s="1"/>
  <c r="K123" i="1"/>
  <c r="K125" i="1" s="1"/>
  <c r="E137" i="1"/>
  <c r="E30" i="1" l="1"/>
  <c r="E150" i="1" s="1"/>
  <c r="H30" i="1"/>
  <c r="K30" i="1"/>
  <c r="Q43" i="1"/>
  <c r="E139" i="1" l="1"/>
  <c r="E161" i="1" s="1"/>
  <c r="K139" i="1"/>
  <c r="K150" i="1"/>
  <c r="H139" i="1"/>
  <c r="H150" i="1"/>
  <c r="Y27" i="1" l="1"/>
  <c r="Y28" i="1"/>
  <c r="Y26" i="1"/>
  <c r="H172" i="1"/>
  <c r="E172" i="1"/>
  <c r="H161" i="1"/>
  <c r="H31" i="1"/>
  <c r="E31" i="1"/>
  <c r="I17" i="1" l="1"/>
  <c r="R17" i="1"/>
  <c r="Q118" i="1" s="1"/>
  <c r="O17" i="1"/>
  <c r="L17" i="1"/>
  <c r="F17" i="1"/>
  <c r="Q18" i="1"/>
  <c r="N18" i="1"/>
  <c r="K18" i="1"/>
  <c r="H18" i="1"/>
  <c r="E18" i="1"/>
  <c r="Q159" i="1"/>
  <c r="Q158" i="1"/>
  <c r="Q137" i="1"/>
  <c r="Q136" i="1"/>
  <c r="Q53" i="1"/>
  <c r="Q33" i="1"/>
  <c r="Q45" i="1" s="1"/>
  <c r="Q30" i="1"/>
  <c r="Q25" i="1"/>
  <c r="N159" i="1"/>
  <c r="N158" i="1"/>
  <c r="N137" i="1"/>
  <c r="N136" i="1"/>
  <c r="N53" i="1"/>
  <c r="N43" i="1"/>
  <c r="N33" i="1"/>
  <c r="N45" i="1" s="1"/>
  <c r="N30" i="1"/>
  <c r="T30" i="1" s="1"/>
  <c r="N25" i="1"/>
  <c r="K159" i="1"/>
  <c r="K158" i="1"/>
  <c r="H159" i="1"/>
  <c r="H158" i="1"/>
  <c r="E159" i="1"/>
  <c r="E158" i="1"/>
  <c r="H137" i="1"/>
  <c r="K137" i="1"/>
  <c r="N118" i="1" l="1"/>
  <c r="N140" i="1"/>
  <c r="N162" i="1" s="1"/>
  <c r="Q140" i="1"/>
  <c r="Q162" i="1" s="1"/>
  <c r="N150" i="1"/>
  <c r="N172" i="1" s="1"/>
  <c r="N139" i="1"/>
  <c r="N161" i="1" s="1"/>
  <c r="Q150" i="1"/>
  <c r="Q172" i="1" s="1"/>
  <c r="Q139" i="1"/>
  <c r="Q161" i="1" s="1"/>
  <c r="Q31" i="1"/>
  <c r="N31" i="1"/>
  <c r="K25" i="1"/>
  <c r="H25" i="1"/>
  <c r="E25" i="1"/>
  <c r="K136" i="1"/>
  <c r="H136" i="1"/>
  <c r="E136" i="1"/>
  <c r="K53" i="1"/>
  <c r="K43" i="1"/>
  <c r="K33" i="1"/>
  <c r="K45" i="1" s="1"/>
  <c r="E73" i="1"/>
  <c r="E74" i="1" s="1"/>
  <c r="E110" i="1"/>
  <c r="E105" i="1"/>
  <c r="H53" i="1"/>
  <c r="E53" i="1"/>
  <c r="H43" i="1"/>
  <c r="E43" i="1"/>
  <c r="E98" i="1"/>
  <c r="K129" i="1" l="1"/>
  <c r="H129" i="1"/>
  <c r="E129" i="1"/>
  <c r="K130" i="1"/>
  <c r="H130" i="1"/>
  <c r="H131" i="1" s="1"/>
  <c r="E130" i="1"/>
  <c r="K118" i="1"/>
  <c r="H140" i="1"/>
  <c r="H118" i="1"/>
  <c r="E118" i="1"/>
  <c r="E140" i="1"/>
  <c r="Q141" i="1"/>
  <c r="K119" i="1"/>
  <c r="K141" i="1"/>
  <c r="E119" i="1"/>
  <c r="T163" i="1"/>
  <c r="N141" i="1"/>
  <c r="N163" i="1" s="1"/>
  <c r="H119" i="1"/>
  <c r="H120" i="1" s="1"/>
  <c r="H141" i="1"/>
  <c r="E141" i="1"/>
  <c r="E163" i="1" s="1"/>
  <c r="Q120" i="1"/>
  <c r="N120" i="1"/>
  <c r="K120" i="1"/>
  <c r="E131" i="1"/>
  <c r="Q131" i="1"/>
  <c r="N131" i="1"/>
  <c r="K131" i="1"/>
  <c r="K140" i="1"/>
  <c r="Q146" i="1"/>
  <c r="Q168" i="1" s="1"/>
  <c r="N146" i="1"/>
  <c r="N168" i="1" s="1"/>
  <c r="E146" i="1"/>
  <c r="E168" i="1" s="1"/>
  <c r="K146" i="1"/>
  <c r="K168" i="1" s="1"/>
  <c r="H146" i="1"/>
  <c r="H168" i="1" s="1"/>
  <c r="Q163" i="1"/>
  <c r="K163" i="1"/>
  <c r="Q151" i="1"/>
  <c r="Q173" i="1" s="1"/>
  <c r="N151" i="1"/>
  <c r="N173" i="1" s="1"/>
  <c r="H151" i="1"/>
  <c r="H173" i="1" s="1"/>
  <c r="E151" i="1"/>
  <c r="E173" i="1" s="1"/>
  <c r="K151" i="1"/>
  <c r="K173" i="1" s="1"/>
  <c r="Q145" i="1"/>
  <c r="Q167" i="1" s="1"/>
  <c r="N145" i="1"/>
  <c r="N167" i="1" s="1"/>
  <c r="E145" i="1"/>
  <c r="E167" i="1" s="1"/>
  <c r="K145" i="1"/>
  <c r="K167" i="1" s="1"/>
  <c r="H145" i="1"/>
  <c r="H167" i="1" s="1"/>
  <c r="Q152" i="1"/>
  <c r="Q174" i="1" s="1"/>
  <c r="N152" i="1"/>
  <c r="N174" i="1" s="1"/>
  <c r="E152" i="1"/>
  <c r="E174" i="1" s="1"/>
  <c r="H152" i="1"/>
  <c r="H174" i="1" s="1"/>
  <c r="K152" i="1"/>
  <c r="K174" i="1" s="1"/>
  <c r="K172" i="1"/>
  <c r="K161" i="1"/>
  <c r="K31" i="1"/>
  <c r="H142" i="1" l="1"/>
  <c r="E120" i="1"/>
  <c r="H163" i="1"/>
  <c r="N133" i="1"/>
  <c r="H133" i="1"/>
  <c r="E133" i="1"/>
  <c r="K133" i="1"/>
  <c r="Q133" i="1"/>
  <c r="T168" i="1"/>
  <c r="T31" i="1"/>
  <c r="E162" i="1"/>
  <c r="H162" i="1"/>
  <c r="K162" i="1"/>
  <c r="T167" i="1"/>
  <c r="T174" i="1"/>
  <c r="T161" i="1"/>
  <c r="T172" i="1"/>
  <c r="T173" i="1"/>
  <c r="Q153" i="1"/>
  <c r="Q175" i="1" s="1"/>
  <c r="K153" i="1"/>
  <c r="K175" i="1" s="1"/>
  <c r="E153" i="1"/>
  <c r="E175" i="1" s="1"/>
  <c r="N153" i="1"/>
  <c r="N175" i="1" s="1"/>
  <c r="H153" i="1"/>
  <c r="H175" i="1" s="1"/>
  <c r="H33" i="1"/>
  <c r="H45" i="1" s="1"/>
  <c r="E33" i="1"/>
  <c r="E45" i="1" s="1"/>
  <c r="E142" i="1"/>
  <c r="K142" i="1"/>
  <c r="H147" i="1"/>
  <c r="H169" i="1" s="1"/>
  <c r="Q142" i="1"/>
  <c r="Q164" i="1" s="1"/>
  <c r="Q147" i="1"/>
  <c r="Q169" i="1" s="1"/>
  <c r="K147" i="1"/>
  <c r="K169" i="1" s="1"/>
  <c r="N142" i="1"/>
  <c r="N164" i="1" s="1"/>
  <c r="E147" i="1"/>
  <c r="E169" i="1" s="1"/>
  <c r="N147" i="1"/>
  <c r="N169" i="1" s="1"/>
  <c r="T169" i="1" l="1"/>
  <c r="E164" i="1"/>
  <c r="T162" i="1"/>
  <c r="T164" i="1" s="1"/>
  <c r="K164" i="1"/>
  <c r="H164" i="1"/>
  <c r="T175" i="1"/>
  <c r="K155" i="1"/>
  <c r="Q155" i="1"/>
  <c r="N155" i="1"/>
  <c r="N177" i="1"/>
  <c r="H155" i="1"/>
  <c r="E155" i="1"/>
  <c r="Q177" i="1"/>
  <c r="K177" i="1" l="1"/>
  <c r="H177" i="1"/>
  <c r="E177" i="1"/>
  <c r="T177" i="1"/>
</calcChain>
</file>

<file path=xl/sharedStrings.xml><?xml version="1.0" encoding="utf-8"?>
<sst xmlns="http://schemas.openxmlformats.org/spreadsheetml/2006/main" count="550" uniqueCount="146">
  <si>
    <t>Forage Cost of Production Calculator</t>
  </si>
  <si>
    <t xml:space="preserve">This calculator is designed to help you calculate the production cost of forage crops. </t>
  </si>
  <si>
    <r>
      <t xml:space="preserve">Please input your data into the </t>
    </r>
    <r>
      <rPr>
        <u/>
        <sz val="12"/>
        <color theme="1"/>
        <rFont val="Aptos Narrow"/>
        <family val="2"/>
        <scheme val="minor"/>
      </rPr>
      <t>yellow cells</t>
    </r>
    <r>
      <rPr>
        <sz val="12"/>
        <color theme="1"/>
        <rFont val="Aptos Narrow"/>
        <family val="2"/>
        <scheme val="minor"/>
      </rPr>
      <t>. The</t>
    </r>
    <r>
      <rPr>
        <u/>
        <sz val="12"/>
        <color theme="1"/>
        <rFont val="Aptos Narrow"/>
        <family val="2"/>
        <scheme val="minor"/>
      </rPr>
      <t xml:space="preserve"> blue-shaded cells</t>
    </r>
    <r>
      <rPr>
        <sz val="12"/>
        <color theme="1"/>
        <rFont val="Aptos Narrow"/>
        <family val="2"/>
        <scheme val="minor"/>
      </rPr>
      <t xml:space="preserve"> contain formulas and are protected to prevent accidental changes or deletions. </t>
    </r>
  </si>
  <si>
    <t>Please choose Annual or Perennial from the drop-down list in line 17. If Annual is chosen, data is not required in lines 46-52 (cells will turn grey).</t>
  </si>
  <si>
    <t>The pre-populated numbers are intended solely as examples, NOT benchmarks.</t>
  </si>
  <si>
    <t>For further clarification and guidance on input, additional explanations are provided in the text box and footnotes.</t>
  </si>
  <si>
    <t>Forage Enterprise Level Info</t>
  </si>
  <si>
    <t>Field #1</t>
  </si>
  <si>
    <t>Field #2</t>
  </si>
  <si>
    <t>Field #3</t>
  </si>
  <si>
    <t>Field #4</t>
  </si>
  <si>
    <t>Field #5</t>
  </si>
  <si>
    <t>Field Description</t>
  </si>
  <si>
    <t>Alfalfa Hay</t>
  </si>
  <si>
    <t>Mixed Grass Hay</t>
  </si>
  <si>
    <t>Alfalfa-grass Baled Silage</t>
  </si>
  <si>
    <t>To webpage developer:</t>
  </si>
  <si>
    <t>Annual</t>
  </si>
  <si>
    <t>Perennial</t>
  </si>
  <si>
    <t>Annual or Perennial (select from drop-down list)</t>
  </si>
  <si>
    <t xml:space="preserve">Cells E17, H17, K17,N17, Q17 feature a dropdown list for selecting either "Annual" or "Perennial" (Source data B17, C17). If anything other than these options is entered, a warning message pops up.
</t>
  </si>
  <si>
    <t>Forage Land</t>
  </si>
  <si>
    <t>Farm Total</t>
  </si>
  <si>
    <t xml:space="preserve">Cells F17, I17, L17, O17, R17 are formulars "Annual"=0,"Pernnial"=1
</t>
  </si>
  <si>
    <t xml:space="preserve">Owned Land Area  </t>
  </si>
  <si>
    <t>acre</t>
  </si>
  <si>
    <t>acres</t>
  </si>
  <si>
    <r>
      <t>Estimated Rental Price on Owned Land</t>
    </r>
    <r>
      <rPr>
        <vertAlign val="superscript"/>
        <sz val="11"/>
        <color theme="1"/>
        <rFont val="Aptos Narrow"/>
        <family val="2"/>
        <scheme val="minor"/>
      </rPr>
      <t>1</t>
    </r>
  </si>
  <si>
    <t>$/acre</t>
  </si>
  <si>
    <t>Rented Land Area</t>
  </si>
  <si>
    <t>Rental Price</t>
  </si>
  <si>
    <t>Forage Yield</t>
  </si>
  <si>
    <t>Unit Conversion</t>
  </si>
  <si>
    <t>Length of Perennial Forage Stand (incl. establishment year)</t>
  </si>
  <si>
    <t>years</t>
  </si>
  <si>
    <t>tonne</t>
  </si>
  <si>
    <t>&gt;&gt;&gt;</t>
  </si>
  <si>
    <t>ton</t>
  </si>
  <si>
    <t>Average Annual Yield (wet weight)</t>
  </si>
  <si>
    <t>ton/acre</t>
  </si>
  <si>
    <t>kg</t>
  </si>
  <si>
    <t>Dry Matter %</t>
  </si>
  <si>
    <t>%</t>
  </si>
  <si>
    <t>lb</t>
  </si>
  <si>
    <t>Annual Production (wet weight)</t>
  </si>
  <si>
    <t>tons</t>
  </si>
  <si>
    <t>Annual Production (dry matter)</t>
  </si>
  <si>
    <r>
      <t>Variable Cost</t>
    </r>
    <r>
      <rPr>
        <b/>
        <vertAlign val="superscript"/>
        <sz val="11"/>
        <color theme="1"/>
        <rFont val="Aptos Narrow"/>
        <family val="2"/>
        <scheme val="minor"/>
      </rPr>
      <t>2</t>
    </r>
    <r>
      <rPr>
        <b/>
        <sz val="11"/>
        <color theme="1"/>
        <rFont val="Aptos Narrow"/>
        <family val="2"/>
        <scheme val="minor"/>
      </rPr>
      <t xml:space="preserve"> in Establishment Year for Perennial Crops
or
Average Annual Variable Cost for Annual Crops
(Cash)</t>
    </r>
  </si>
  <si>
    <t>Seed &amp; Treatment</t>
  </si>
  <si>
    <t>Nurse Crop Seed</t>
  </si>
  <si>
    <t>Fertilizer</t>
  </si>
  <si>
    <t>Chemicals (Herbicide, Insecticide, Fungicide)</t>
  </si>
  <si>
    <t>Fuel</t>
  </si>
  <si>
    <t>Rental and Custom Work</t>
  </si>
  <si>
    <t>Crop Insurance</t>
  </si>
  <si>
    <t>Twine/Net Wrap/ Plastic</t>
  </si>
  <si>
    <t>Others</t>
  </si>
  <si>
    <t>Total Variable Cost in Establishment Year</t>
  </si>
  <si>
    <t>Enter for PERENNIAL only:
Average Annual Variable Cost in Year 2 onward (Cash)</t>
  </si>
  <si>
    <t>Rows 46-52 are conditional formatted. If "Annual" is chosen, the cells will become grey.</t>
  </si>
  <si>
    <t>Average Annual Variable Cost in Year-2 onward</t>
  </si>
  <si>
    <t>Whole-Farm Level Info</t>
  </si>
  <si>
    <t>Forage Production as a % of Whole Farm</t>
  </si>
  <si>
    <t xml:space="preserve">Overhead (Cash) Cost </t>
  </si>
  <si>
    <t>Land Improvement</t>
  </si>
  <si>
    <t>$/year</t>
  </si>
  <si>
    <t>Machine Maintenance</t>
  </si>
  <si>
    <t>Building Maintenance</t>
  </si>
  <si>
    <t>Diesel</t>
  </si>
  <si>
    <t>Gasoline</t>
  </si>
  <si>
    <t xml:space="preserve">Utilities (e.g. water, electricity) </t>
  </si>
  <si>
    <t>Farm Insurance</t>
  </si>
  <si>
    <t>Life Insurance</t>
  </si>
  <si>
    <t>Advisory Cost</t>
  </si>
  <si>
    <t>Farm Tax</t>
  </si>
  <si>
    <t>Accounting</t>
  </si>
  <si>
    <t>Office</t>
  </si>
  <si>
    <t>Interest on liability</t>
  </si>
  <si>
    <t>Machinery Lease</t>
  </si>
  <si>
    <t>Total Overhead Cost</t>
  </si>
  <si>
    <t>Overhead Cost Allocated to Forage</t>
  </si>
  <si>
    <t>Depreciation and Opportunity Cost on Machinery and Buildings</t>
  </si>
  <si>
    <t xml:space="preserve">Machinery </t>
  </si>
  <si>
    <t>Current Market Value ($)</t>
  </si>
  <si>
    <t>$</t>
  </si>
  <si>
    <t>Forage Usage %</t>
  </si>
  <si>
    <t>Salvage Value ($)</t>
  </si>
  <si>
    <t>Useful Life (years)</t>
  </si>
  <si>
    <t>% of Equipment Equity Owned</t>
  </si>
  <si>
    <r>
      <t>Machinery Opportunity Cost</t>
    </r>
    <r>
      <rPr>
        <sz val="11"/>
        <rFont val="Aptos Narrow"/>
        <family val="2"/>
      </rPr>
      <t xml:space="preserve"> 
</t>
    </r>
    <r>
      <rPr>
        <sz val="10"/>
        <rFont val="Aptos Narrow"/>
        <family val="2"/>
      </rPr>
      <t>(Potential Return % from Alternative Investments)</t>
    </r>
  </si>
  <si>
    <t>Forage Machinery Depreciation Cost</t>
  </si>
  <si>
    <t xml:space="preserve">Owned Forage Machinery Opportunity Cost </t>
  </si>
  <si>
    <t>Storage/Buildings</t>
  </si>
  <si>
    <t xml:space="preserve">Current Market Value </t>
  </si>
  <si>
    <t>Salvage Value (% of current market value)</t>
  </si>
  <si>
    <t>% of Storage/Building Equity Owned</t>
  </si>
  <si>
    <r>
      <t>Storage /Building Opportunity Cost</t>
    </r>
    <r>
      <rPr>
        <sz val="11"/>
        <rFont val="Aptos Narrow"/>
        <family val="2"/>
        <scheme val="minor"/>
      </rPr>
      <t xml:space="preserve"> 
</t>
    </r>
    <r>
      <rPr>
        <sz val="10"/>
        <rFont val="Aptos Narrow"/>
        <family val="2"/>
        <scheme val="minor"/>
      </rPr>
      <t>(Potential Return % from Alternative Investments)</t>
    </r>
  </si>
  <si>
    <t>Storage/Building Depreciation Cost</t>
  </si>
  <si>
    <t xml:space="preserve">Owned Storage/Building Opportunity Cost </t>
  </si>
  <si>
    <t>Labour</t>
  </si>
  <si>
    <t>Total Paid Labour Hours (for the year)</t>
  </si>
  <si>
    <t>hours/year</t>
  </si>
  <si>
    <t>Forage Labour %</t>
  </si>
  <si>
    <t>Paid Labour Cost per Hour</t>
  </si>
  <si>
    <t>$/hour</t>
  </si>
  <si>
    <t>Total Paid Labour Cost for Forage Production</t>
  </si>
  <si>
    <t>Total Unpaid Labour (for the year)</t>
  </si>
  <si>
    <t>Unpaid Labour Cost per Hour</t>
  </si>
  <si>
    <t>Total Unpaid Labour Cost for Forage Production</t>
  </si>
  <si>
    <t>Results Summary- Cost per Acre</t>
  </si>
  <si>
    <t xml:space="preserve">Cash Cost </t>
  </si>
  <si>
    <t>Land Rent</t>
  </si>
  <si>
    <r>
      <t>Variable Cost</t>
    </r>
    <r>
      <rPr>
        <vertAlign val="superscript"/>
        <sz val="11"/>
        <color theme="1"/>
        <rFont val="Aptos Narrow"/>
        <family val="2"/>
        <scheme val="minor"/>
      </rPr>
      <t>3</t>
    </r>
  </si>
  <si>
    <r>
      <t>Overhead Cost &amp; Paid labour</t>
    </r>
    <r>
      <rPr>
        <vertAlign val="superscript"/>
        <sz val="11"/>
        <color theme="1"/>
        <rFont val="Aptos Narrow"/>
        <family val="2"/>
        <scheme val="minor"/>
      </rPr>
      <t>4</t>
    </r>
  </si>
  <si>
    <t>Total Cash Cost</t>
  </si>
  <si>
    <r>
      <t>Depreciation</t>
    </r>
    <r>
      <rPr>
        <b/>
        <vertAlign val="superscript"/>
        <sz val="11"/>
        <color theme="0"/>
        <rFont val="Aptos Narrow"/>
        <family val="2"/>
        <scheme val="minor"/>
      </rPr>
      <t>4</t>
    </r>
  </si>
  <si>
    <t>Machinery</t>
  </si>
  <si>
    <t>Total Depreciation</t>
  </si>
  <si>
    <r>
      <t xml:space="preserve">Opportunity Cost </t>
    </r>
    <r>
      <rPr>
        <b/>
        <vertAlign val="superscript"/>
        <sz val="11"/>
        <color theme="0"/>
        <rFont val="Aptos Narrow"/>
        <family val="2"/>
        <scheme val="minor"/>
      </rPr>
      <t>5</t>
    </r>
  </si>
  <si>
    <t>Owned land</t>
  </si>
  <si>
    <r>
      <t>Unpaid labour</t>
    </r>
    <r>
      <rPr>
        <vertAlign val="superscript"/>
        <sz val="11"/>
        <color theme="1"/>
        <rFont val="Aptos Narrow"/>
        <family val="2"/>
        <scheme val="minor"/>
      </rPr>
      <t>4</t>
    </r>
  </si>
  <si>
    <r>
      <t>Capital</t>
    </r>
    <r>
      <rPr>
        <vertAlign val="superscript"/>
        <sz val="11"/>
        <color theme="1"/>
        <rFont val="Aptos Narrow"/>
        <family val="2"/>
        <scheme val="minor"/>
      </rPr>
      <t>4</t>
    </r>
  </si>
  <si>
    <t>Total Opportunity Cost</t>
  </si>
  <si>
    <t>Total Production Cost per Acre</t>
  </si>
  <si>
    <t>Results Summary- Cost per Wet Ton</t>
  </si>
  <si>
    <t>$/ton</t>
  </si>
  <si>
    <t>Total Production Cost per Wet Ton</t>
  </si>
  <si>
    <t>Results Summary - Cost per Dry Ton</t>
  </si>
  <si>
    <t>Overall Avg.</t>
  </si>
  <si>
    <t>Variable Cost</t>
  </si>
  <si>
    <t>Overhead &amp; Paid labour</t>
  </si>
  <si>
    <t>Depreciation</t>
  </si>
  <si>
    <t>Storage/Building</t>
  </si>
  <si>
    <t xml:space="preserve">Opportunity Cost </t>
  </si>
  <si>
    <t>Unpaid labour</t>
  </si>
  <si>
    <t>Capital</t>
  </si>
  <si>
    <t>Total Production Cost per Dry Ton</t>
  </si>
  <si>
    <t>Footnotes:</t>
  </si>
  <si>
    <t>1. Estimated rental price on owned Land  represents the potential income you could have generated by renting out the land. It is used to estimate the opportunity cost of the land, indicating what you might have gained or achieved if you had utilized the land differently.</t>
  </si>
  <si>
    <t>2. Variable cost per acre refers to the expenses that vary depending on the size of the land used for production.</t>
  </si>
  <si>
    <t xml:space="preserve">3. Variable costs in the establishment year are spread across production years. Variable cost per ton = (variable cost per acre in establishment year + average annual variable cost per acre in year-two onward X (length of forage stand -1))/length of forage stand/average yield per acre </t>
  </si>
  <si>
    <t>4. Overhead, paid labour, depreciation, and opportunity cost on unpaid labour and capital are distributed among the fields based on acreage. The cost per ton is calculated by dividing the costs of each specific field by the total production of that field.</t>
  </si>
  <si>
    <t xml:space="preserve">5. Opportunity costs are the non-cash costs that reveal the opportunity of using different resources. </t>
  </si>
  <si>
    <r>
      <t>Land:</t>
    </r>
    <r>
      <rPr>
        <b/>
        <i/>
        <sz val="11"/>
        <color theme="1"/>
        <rFont val="Aptos Narrow"/>
        <family val="2"/>
        <scheme val="minor"/>
      </rPr>
      <t xml:space="preserve"> </t>
    </r>
    <r>
      <rPr>
        <i/>
        <sz val="11"/>
        <color theme="1"/>
        <rFont val="Aptos Narrow"/>
        <family val="2"/>
        <scheme val="minor"/>
      </rPr>
      <t xml:space="preserve">The opportunity costs of land are potential income from renting out owned land. </t>
    </r>
  </si>
  <si>
    <t xml:space="preserve">Labour: The opportunity costs of labour are the calculated wage for family labour. It is important to note that the opportunity cost of labour reflects the income you can receive for the same type of labour. </t>
  </si>
  <si>
    <t>Capital: The opportunity cost of capital is the interest rate multiplied by the equity without land.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</si>
</sst>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quot;$&quot;#,##0"/>
    <numFmt numFmtId="166" formatCode="0.0%"/>
    <numFmt numFmtId="167" formatCode="&quot;$&quot;#,##0.00"/>
    <numFmt numFmtId="168" formatCode="0.000"/>
    <numFmt numFmtId="169" formatCode="&quot;$&quot;#,##0.0"/>
  </numFmts>
  <fonts count="24">
    <font>
      <sz val="11"/>
      <color theme="1"/>
      <name val="Aptos Narrow"/>
      <family val="2"/>
      <scheme val="minor"/>
    </font>
    <font>
      <b/>
      <sz val="11"/>
      <color theme="1"/>
      <name val="Aptos Narrow"/>
      <family val="2"/>
      <scheme val="minor"/>
    </font>
    <font>
      <sz val="11"/>
      <color theme="1"/>
      <name val="Aptos Narrow"/>
      <family val="2"/>
      <scheme val="minor"/>
    </font>
    <font>
      <b/>
      <sz val="14"/>
      <color theme="1"/>
      <name val="Aptos Narrow"/>
      <family val="2"/>
      <scheme val="minor"/>
    </font>
    <font>
      <sz val="10"/>
      <name val="Arial"/>
      <family val="2"/>
    </font>
    <font>
      <sz val="11"/>
      <name val="Aptos Narrow"/>
      <family val="2"/>
    </font>
    <font>
      <b/>
      <sz val="11"/>
      <color theme="0"/>
      <name val="Aptos Narrow"/>
      <family val="2"/>
      <scheme val="minor"/>
    </font>
    <font>
      <sz val="11"/>
      <color theme="0"/>
      <name val="Aptos Narrow"/>
      <family val="2"/>
      <scheme val="minor"/>
    </font>
    <font>
      <b/>
      <sz val="18"/>
      <color theme="1"/>
      <name val="Aptos Narrow"/>
      <family val="2"/>
      <scheme val="minor"/>
    </font>
    <font>
      <vertAlign val="superscript"/>
      <sz val="11"/>
      <color theme="1"/>
      <name val="Aptos Narrow"/>
      <family val="2"/>
      <scheme val="minor"/>
    </font>
    <font>
      <b/>
      <sz val="14"/>
      <color theme="0"/>
      <name val="Aptos Narrow"/>
      <family val="2"/>
      <scheme val="minor"/>
    </font>
    <font>
      <b/>
      <sz val="14"/>
      <name val="Aptos Narrow"/>
      <family val="2"/>
      <scheme val="minor"/>
    </font>
    <font>
      <sz val="11"/>
      <name val="Aptos Narrow"/>
      <family val="2"/>
      <scheme val="minor"/>
    </font>
    <font>
      <b/>
      <vertAlign val="superscript"/>
      <sz val="11"/>
      <color theme="1"/>
      <name val="Aptos Narrow"/>
      <family val="2"/>
      <scheme val="minor"/>
    </font>
    <font>
      <b/>
      <vertAlign val="superscript"/>
      <sz val="11"/>
      <color theme="0"/>
      <name val="Aptos Narrow"/>
      <family val="2"/>
      <scheme val="minor"/>
    </font>
    <font>
      <sz val="11"/>
      <color theme="1"/>
      <name val="Aptos"/>
      <family val="2"/>
    </font>
    <font>
      <i/>
      <sz val="11"/>
      <color theme="1"/>
      <name val="Aptos Narrow"/>
      <family val="2"/>
      <scheme val="minor"/>
    </font>
    <font>
      <sz val="10"/>
      <name val="Aptos Narrow"/>
      <family val="2"/>
    </font>
    <font>
      <sz val="10"/>
      <name val="Aptos Narrow"/>
      <family val="2"/>
      <scheme val="minor"/>
    </font>
    <font>
      <b/>
      <i/>
      <sz val="11"/>
      <color theme="1"/>
      <name val="Aptos Narrow"/>
      <family val="2"/>
      <scheme val="minor"/>
    </font>
    <font>
      <sz val="11"/>
      <color theme="0" tint="-4.9989318521683403E-2"/>
      <name val="Aptos Narrow"/>
      <family val="2"/>
      <scheme val="minor"/>
    </font>
    <font>
      <sz val="11"/>
      <color rgb="FFFF0000"/>
      <name val="Aptos Narrow"/>
      <family val="2"/>
      <scheme val="minor"/>
    </font>
    <font>
      <sz val="12"/>
      <color theme="1"/>
      <name val="Aptos Narrow"/>
      <family val="2"/>
      <scheme val="minor"/>
    </font>
    <font>
      <u/>
      <sz val="12"/>
      <color theme="1"/>
      <name val="Aptos Narrow"/>
      <family val="2"/>
      <scheme val="minor"/>
    </font>
  </fonts>
  <fills count="9">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theme="3" tint="0.749992370372631"/>
        <bgColor indexed="64"/>
      </patternFill>
    </fill>
    <fill>
      <patternFill patternType="solid">
        <fgColor theme="0" tint="-0.14999847407452621"/>
        <bgColor indexed="64"/>
      </patternFill>
    </fill>
    <fill>
      <patternFill patternType="solid">
        <fgColor theme="3" tint="0.249977111117893"/>
        <bgColor indexed="64"/>
      </patternFill>
    </fill>
    <fill>
      <patternFill patternType="solid">
        <fgColor theme="5" tint="0.39997558519241921"/>
        <bgColor indexed="64"/>
      </patternFill>
    </fill>
    <fill>
      <patternFill patternType="solid">
        <fgColor theme="9" tint="-0.249977111117893"/>
        <bgColor indexed="64"/>
      </patternFill>
    </fill>
  </fills>
  <borders count="1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4" fillId="0" borderId="0">
      <alignment vertical="top"/>
    </xf>
    <xf numFmtId="164" fontId="2" fillId="0" borderId="0" applyFont="0" applyFill="0" applyBorder="0" applyAlignment="0" applyProtection="0"/>
  </cellStyleXfs>
  <cellXfs count="95">
    <xf numFmtId="0" fontId="0" fillId="0" borderId="0" xfId="0"/>
    <xf numFmtId="0" fontId="0" fillId="2" borderId="0" xfId="0" applyFill="1"/>
    <xf numFmtId="0" fontId="0" fillId="3" borderId="0" xfId="0" applyFill="1"/>
    <xf numFmtId="0" fontId="1" fillId="0" borderId="0" xfId="0" applyFont="1"/>
    <xf numFmtId="0" fontId="3" fillId="0" borderId="0" xfId="0" applyFont="1"/>
    <xf numFmtId="9" fontId="0" fillId="2" borderId="0" xfId="0" applyNumberFormat="1" applyFill="1"/>
    <xf numFmtId="165" fontId="0" fillId="2" borderId="0" xfId="0" applyNumberFormat="1" applyFill="1"/>
    <xf numFmtId="9" fontId="0" fillId="2" borderId="0" xfId="1" applyFont="1" applyFill="1"/>
    <xf numFmtId="166" fontId="0" fillId="2" borderId="0" xfId="1" applyNumberFormat="1" applyFont="1" applyFill="1"/>
    <xf numFmtId="165" fontId="0" fillId="0" borderId="0" xfId="0" applyNumberFormat="1"/>
    <xf numFmtId="0" fontId="0" fillId="4" borderId="0" xfId="0" applyFill="1"/>
    <xf numFmtId="167" fontId="0" fillId="4" borderId="0" xfId="0" applyNumberFormat="1" applyFill="1"/>
    <xf numFmtId="167" fontId="1" fillId="4" borderId="0" xfId="0" applyNumberFormat="1" applyFont="1" applyFill="1"/>
    <xf numFmtId="0" fontId="0" fillId="0" borderId="0" xfId="0" applyAlignment="1">
      <alignment horizontal="left"/>
    </xf>
    <xf numFmtId="9" fontId="0" fillId="0" borderId="0" xfId="0" applyNumberFormat="1"/>
    <xf numFmtId="0" fontId="1" fillId="3" borderId="0" xfId="0" applyFont="1" applyFill="1"/>
    <xf numFmtId="0" fontId="1" fillId="5" borderId="0" xfId="0" applyFont="1" applyFill="1"/>
    <xf numFmtId="0" fontId="0" fillId="5" borderId="0" xfId="0" applyFill="1"/>
    <xf numFmtId="1" fontId="0" fillId="4" borderId="0" xfId="0" applyNumberFormat="1" applyFill="1"/>
    <xf numFmtId="167" fontId="0" fillId="4" borderId="0" xfId="3" applyNumberFormat="1" applyFont="1" applyFill="1"/>
    <xf numFmtId="167" fontId="1" fillId="4" borderId="0" xfId="3" applyNumberFormat="1" applyFont="1" applyFill="1"/>
    <xf numFmtId="0" fontId="8" fillId="0" borderId="0" xfId="0" applyFont="1"/>
    <xf numFmtId="0" fontId="0" fillId="0" borderId="0" xfId="0" applyAlignment="1">
      <alignment wrapText="1"/>
    </xf>
    <xf numFmtId="165" fontId="1" fillId="4" borderId="0" xfId="0" applyNumberFormat="1" applyFont="1" applyFill="1"/>
    <xf numFmtId="9" fontId="1" fillId="2" borderId="0" xfId="1" applyFont="1" applyFill="1"/>
    <xf numFmtId="0" fontId="0" fillId="6" borderId="0" xfId="0" applyFill="1"/>
    <xf numFmtId="0" fontId="6" fillId="6" borderId="0" xfId="0" applyFont="1" applyFill="1"/>
    <xf numFmtId="0" fontId="7" fillId="6" borderId="0" xfId="0" applyFont="1" applyFill="1"/>
    <xf numFmtId="0" fontId="10" fillId="6" borderId="0" xfId="0" applyFont="1" applyFill="1"/>
    <xf numFmtId="167" fontId="6" fillId="6" borderId="0" xfId="0" applyNumberFormat="1" applyFont="1" applyFill="1"/>
    <xf numFmtId="0" fontId="3" fillId="7" borderId="0" xfId="0" applyFont="1" applyFill="1"/>
    <xf numFmtId="0" fontId="0" fillId="7" borderId="0" xfId="0" applyFill="1"/>
    <xf numFmtId="0" fontId="1" fillId="7" borderId="0" xfId="0" applyFont="1" applyFill="1"/>
    <xf numFmtId="167" fontId="1" fillId="7" borderId="0" xfId="0" applyNumberFormat="1" applyFont="1" applyFill="1"/>
    <xf numFmtId="0" fontId="11" fillId="3" borderId="0" xfId="0" applyFont="1" applyFill="1"/>
    <xf numFmtId="0" fontId="12" fillId="3" borderId="0" xfId="0" applyFont="1" applyFill="1"/>
    <xf numFmtId="0" fontId="15" fillId="0" borderId="0" xfId="0" applyFont="1" applyAlignment="1">
      <alignment horizontal="left" indent="2"/>
    </xf>
    <xf numFmtId="0" fontId="0" fillId="0" borderId="0" xfId="0" applyAlignment="1">
      <alignment horizontal="left" indent="2"/>
    </xf>
    <xf numFmtId="1" fontId="0" fillId="2" borderId="0" xfId="0" applyNumberFormat="1" applyFill="1"/>
    <xf numFmtId="0" fontId="1" fillId="0" borderId="0" xfId="0" applyFont="1" applyAlignment="1">
      <alignment horizontal="center"/>
    </xf>
    <xf numFmtId="0" fontId="0" fillId="2" borderId="0" xfId="0" applyFill="1" applyAlignment="1">
      <alignment horizontal="center"/>
    </xf>
    <xf numFmtId="0" fontId="0" fillId="0" borderId="0" xfId="0" applyAlignment="1">
      <alignment horizontal="center"/>
    </xf>
    <xf numFmtId="0" fontId="1" fillId="3" borderId="0" xfId="0" applyFont="1" applyFill="1" applyAlignment="1">
      <alignment horizontal="center"/>
    </xf>
    <xf numFmtId="0" fontId="1" fillId="5" borderId="0" xfId="0" applyFont="1" applyFill="1" applyAlignment="1">
      <alignment horizontal="center"/>
    </xf>
    <xf numFmtId="165" fontId="1" fillId="5" borderId="0" xfId="0" applyNumberFormat="1" applyFont="1" applyFill="1" applyAlignment="1">
      <alignment horizontal="center"/>
    </xf>
    <xf numFmtId="0" fontId="20" fillId="0" borderId="0" xfId="0" applyFont="1"/>
    <xf numFmtId="0" fontId="7" fillId="0" borderId="0" xfId="0" applyFont="1"/>
    <xf numFmtId="0" fontId="6" fillId="0" borderId="0" xfId="0" applyFont="1"/>
    <xf numFmtId="0" fontId="20" fillId="0" borderId="0" xfId="0" applyFont="1" applyAlignment="1">
      <alignment horizontal="center"/>
    </xf>
    <xf numFmtId="2" fontId="0" fillId="0" borderId="0" xfId="0" applyNumberFormat="1"/>
    <xf numFmtId="1" fontId="0" fillId="0" borderId="0" xfId="0" applyNumberFormat="1"/>
    <xf numFmtId="167" fontId="0" fillId="0" borderId="0" xfId="0" applyNumberFormat="1"/>
    <xf numFmtId="0" fontId="0" fillId="0" borderId="4" xfId="0" applyBorder="1"/>
    <xf numFmtId="0" fontId="0" fillId="7" borderId="3" xfId="0" applyFill="1" applyBorder="1"/>
    <xf numFmtId="0" fontId="0" fillId="7" borderId="4" xfId="0" applyFill="1" applyBorder="1"/>
    <xf numFmtId="167" fontId="0" fillId="4" borderId="3" xfId="0" applyNumberFormat="1" applyFill="1" applyBorder="1"/>
    <xf numFmtId="167" fontId="1" fillId="4" borderId="3" xfId="0" applyNumberFormat="1" applyFont="1" applyFill="1" applyBorder="1"/>
    <xf numFmtId="0" fontId="1" fillId="0" borderId="4" xfId="0" applyFont="1" applyBorder="1"/>
    <xf numFmtId="0" fontId="0" fillId="0" borderId="3" xfId="0" applyBorder="1"/>
    <xf numFmtId="167" fontId="1" fillId="7" borderId="5" xfId="0" applyNumberFormat="1" applyFont="1" applyFill="1" applyBorder="1"/>
    <xf numFmtId="0" fontId="1" fillId="7" borderId="6" xfId="0" applyFont="1" applyFill="1" applyBorder="1"/>
    <xf numFmtId="0" fontId="0" fillId="2" borderId="5" xfId="0" applyFill="1" applyBorder="1"/>
    <xf numFmtId="0" fontId="0" fillId="0" borderId="7" xfId="0" applyBorder="1"/>
    <xf numFmtId="0" fontId="0" fillId="0" borderId="6" xfId="0" applyBorder="1"/>
    <xf numFmtId="0" fontId="0" fillId="2" borderId="8" xfId="0" applyFill="1" applyBorder="1"/>
    <xf numFmtId="0" fontId="0" fillId="0" borderId="9" xfId="0" applyBorder="1"/>
    <xf numFmtId="0" fontId="0" fillId="0" borderId="10" xfId="0" applyBorder="1"/>
    <xf numFmtId="168" fontId="0" fillId="4" borderId="9" xfId="0" applyNumberFormat="1" applyFill="1" applyBorder="1"/>
    <xf numFmtId="168" fontId="0" fillId="4" borderId="7" xfId="0" applyNumberFormat="1" applyFill="1" applyBorder="1"/>
    <xf numFmtId="169" fontId="0" fillId="0" borderId="0" xfId="0" applyNumberFormat="1"/>
    <xf numFmtId="9" fontId="0" fillId="0" borderId="0" xfId="1" applyFont="1"/>
    <xf numFmtId="0" fontId="21" fillId="0" borderId="0" xfId="0" applyFont="1"/>
    <xf numFmtId="1" fontId="0" fillId="0" borderId="0" xfId="1" applyNumberFormat="1" applyFont="1"/>
    <xf numFmtId="165" fontId="0" fillId="2" borderId="0" xfId="1" applyNumberFormat="1" applyFont="1" applyFill="1"/>
    <xf numFmtId="0" fontId="19" fillId="5" borderId="0" xfId="0" applyFont="1" applyFill="1"/>
    <xf numFmtId="0" fontId="22" fillId="0" borderId="0" xfId="0" applyFont="1"/>
    <xf numFmtId="167" fontId="0" fillId="7" borderId="0" xfId="0" applyNumberFormat="1" applyFill="1"/>
    <xf numFmtId="0" fontId="10" fillId="8" borderId="0" xfId="0" applyFont="1" applyFill="1"/>
    <xf numFmtId="0" fontId="0" fillId="8" borderId="0" xfId="0" applyFill="1"/>
    <xf numFmtId="0" fontId="6" fillId="8" borderId="0" xfId="0" applyFont="1" applyFill="1"/>
    <xf numFmtId="0" fontId="7" fillId="8" borderId="0" xfId="0" applyFont="1" applyFill="1"/>
    <xf numFmtId="167" fontId="6" fillId="8" borderId="0" xfId="0" applyNumberFormat="1" applyFont="1" applyFill="1"/>
    <xf numFmtId="167" fontId="6" fillId="0" borderId="0" xfId="0" applyNumberFormat="1" applyFont="1"/>
    <xf numFmtId="0" fontId="1" fillId="5" borderId="0" xfId="0" applyFont="1" applyFill="1" applyAlignment="1">
      <alignment horizontal="left" wrapText="1"/>
    </xf>
    <xf numFmtId="0" fontId="1" fillId="5" borderId="0" xfId="0" applyFont="1" applyFill="1" applyAlignment="1">
      <alignment horizontal="left"/>
    </xf>
    <xf numFmtId="0" fontId="1" fillId="0" borderId="0" xfId="0" applyFont="1" applyAlignment="1">
      <alignment horizontal="center"/>
    </xf>
    <xf numFmtId="0" fontId="1" fillId="0" borderId="0" xfId="0" applyFont="1" applyAlignment="1">
      <alignment horizontal="center" wrapText="1"/>
    </xf>
    <xf numFmtId="0" fontId="16" fillId="5" borderId="0" xfId="0" applyFont="1" applyFill="1" applyAlignment="1">
      <alignment horizontal="left" wrapText="1" indent="2"/>
    </xf>
    <xf numFmtId="0" fontId="1" fillId="3" borderId="0" xfId="0" applyFont="1" applyFill="1"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6" fillId="5" borderId="0" xfId="0" applyFont="1" applyFill="1" applyAlignment="1">
      <alignment horizontal="left" wrapText="1"/>
    </xf>
    <xf numFmtId="0" fontId="16" fillId="5" borderId="0" xfId="0" applyFont="1" applyFill="1" applyAlignment="1">
      <alignment wrapText="1"/>
    </xf>
  </cellXfs>
  <cellStyles count="4">
    <cellStyle name="Currency" xfId="3" builtinId="4"/>
    <cellStyle name="Normal" xfId="0" builtinId="0"/>
    <cellStyle name="Normal 2" xfId="2" xr:uid="{03A38BA3-68A0-4E5B-98B7-C650612618C2}"/>
    <cellStyle name="Percent" xfId="1" builtinId="5"/>
  </cellStyles>
  <dxfs count="10">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CA" b="1"/>
              <a:t>Forage Cost of Production per Wet Ton</a:t>
            </a:r>
            <a:r>
              <a:rPr lang="en-CA" b="1" baseline="0"/>
              <a:t> </a:t>
            </a:r>
            <a:endParaRPr lang="en-CA"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CA"/>
        </a:p>
      </c:txPr>
    </c:title>
    <c:autoTitleDeleted val="0"/>
    <c:plotArea>
      <c:layout/>
      <c:barChart>
        <c:barDir val="col"/>
        <c:grouping val="stacked"/>
        <c:varyColors val="0"/>
        <c:ser>
          <c:idx val="0"/>
          <c:order val="0"/>
          <c:tx>
            <c:strRef>
              <c:f>'Forage COP'!$C$138</c:f>
              <c:strCache>
                <c:ptCount val="1"/>
                <c:pt idx="0">
                  <c:v>Cash Cost </c:v>
                </c:pt>
              </c:strCache>
            </c:strRef>
          </c:tx>
          <c:spPr>
            <a:solidFill>
              <a:schemeClr val="accent6"/>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COP'!$E$142,'Forage COP'!$H$142,'Forage COP'!$K$142,'Forage COP'!$N$142,'Forage COP'!$Q$142)</c15:sqref>
                  </c15:fullRef>
                </c:ext>
              </c:extLst>
              <c:f>('Forage COP'!$E$142,'Forage COP'!$H$142,'Forage COP'!$K$142)</c:f>
              <c:numCache>
                <c:formatCode>"$"#,##0.00</c:formatCode>
                <c:ptCount val="3"/>
                <c:pt idx="0">
                  <c:v>125.625</c:v>
                </c:pt>
                <c:pt idx="1">
                  <c:v>131.28968253968253</c:v>
                </c:pt>
                <c:pt idx="2">
                  <c:v>53.88095238095238</c:v>
                </c:pt>
              </c:numCache>
            </c:numRef>
          </c:val>
          <c:extLst>
            <c:ext xmlns:c16="http://schemas.microsoft.com/office/drawing/2014/chart" uri="{C3380CC4-5D6E-409C-BE32-E72D297353CC}">
              <c16:uniqueId val="{00000000-C16E-4E95-9E02-CE0C585E47D0}"/>
            </c:ext>
          </c:extLst>
        </c:ser>
        <c:ser>
          <c:idx val="1"/>
          <c:order val="1"/>
          <c:tx>
            <c:strRef>
              <c:f>'Forage COP'!$C$166</c:f>
              <c:strCache>
                <c:ptCount val="1"/>
                <c:pt idx="0">
                  <c:v>Depreciation</c:v>
                </c:pt>
              </c:strCache>
            </c:strRef>
          </c:tx>
          <c:spPr>
            <a:solidFill>
              <a:schemeClr val="accent5">
                <a:lumMod val="20000"/>
                <a:lumOff val="80000"/>
              </a:schemeClr>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COP'!$E$147,'Forage COP'!$H$147,'Forage COP'!$K$147,'Forage COP'!$N$147,'Forage COP'!$Q$147)</c15:sqref>
                  </c15:fullRef>
                </c:ext>
              </c:extLst>
              <c:f>('Forage COP'!$E$147,'Forage COP'!$H$147,'Forage COP'!$K$147)</c:f>
              <c:numCache>
                <c:formatCode>"$"#,##0.00</c:formatCode>
                <c:ptCount val="3"/>
                <c:pt idx="0">
                  <c:v>13.5</c:v>
                </c:pt>
                <c:pt idx="1">
                  <c:v>15</c:v>
                </c:pt>
                <c:pt idx="2">
                  <c:v>7.7142857142857144</c:v>
                </c:pt>
              </c:numCache>
            </c:numRef>
          </c:val>
          <c:extLst>
            <c:ext xmlns:c16="http://schemas.microsoft.com/office/drawing/2014/chart" uri="{C3380CC4-5D6E-409C-BE32-E72D297353CC}">
              <c16:uniqueId val="{00000007-C16E-4E95-9E02-CE0C585E47D0}"/>
            </c:ext>
          </c:extLst>
        </c:ser>
        <c:ser>
          <c:idx val="2"/>
          <c:order val="2"/>
          <c:tx>
            <c:strRef>
              <c:f>'Forage COP'!$C$171</c:f>
              <c:strCache>
                <c:ptCount val="1"/>
                <c:pt idx="0">
                  <c:v>Opportunity Cost </c:v>
                </c:pt>
              </c:strCache>
            </c:strRef>
          </c:tx>
          <c:spPr>
            <a:solidFill>
              <a:schemeClr val="accent1">
                <a:lumMod val="40000"/>
                <a:lumOff val="60000"/>
              </a:schemeClr>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COP'!$E$153,'Forage COP'!$H$153,'Forage COP'!$K$153,'Forage COP'!$N$153,'Forage COP'!$Q$153)</c15:sqref>
                  </c15:fullRef>
                </c:ext>
              </c:extLst>
              <c:f>('Forage COP'!$E$153,'Forage COP'!$H$153,'Forage COP'!$K$153)</c:f>
              <c:numCache>
                <c:formatCode>"$"#,##0.00</c:formatCode>
                <c:ptCount val="3"/>
                <c:pt idx="0">
                  <c:v>27.97</c:v>
                </c:pt>
                <c:pt idx="1">
                  <c:v>31.077777777777779</c:v>
                </c:pt>
                <c:pt idx="2">
                  <c:v>38.840000000000003</c:v>
                </c:pt>
              </c:numCache>
            </c:numRef>
          </c:val>
          <c:extLst>
            <c:ext xmlns:c16="http://schemas.microsoft.com/office/drawing/2014/chart" uri="{C3380CC4-5D6E-409C-BE32-E72D297353CC}">
              <c16:uniqueId val="{00000008-C16E-4E95-9E02-CE0C585E47D0}"/>
            </c:ext>
          </c:extLst>
        </c:ser>
        <c:dLbls>
          <c:showLegendKey val="0"/>
          <c:showVal val="0"/>
          <c:showCatName val="0"/>
          <c:showSerName val="0"/>
          <c:showPercent val="0"/>
          <c:showBubbleSize val="0"/>
        </c:dLbls>
        <c:gapWidth val="69"/>
        <c:overlap val="100"/>
        <c:axId val="830362392"/>
        <c:axId val="851049016"/>
      </c:barChart>
      <c:lineChart>
        <c:grouping val="standard"/>
        <c:varyColors val="0"/>
        <c:ser>
          <c:idx val="3"/>
          <c:order val="3"/>
          <c:tx>
            <c:strRef>
              <c:f>'Forage COP'!$C$155</c:f>
              <c:strCache>
                <c:ptCount val="1"/>
                <c:pt idx="0">
                  <c:v>Total Production Cost per Wet Ton</c:v>
                </c:pt>
              </c:strCache>
            </c:strRef>
          </c:tx>
          <c:spPr>
            <a:ln w="28575" cap="rnd">
              <a:noFill/>
              <a:round/>
            </a:ln>
            <a:effectLst/>
          </c:spPr>
          <c:marker>
            <c:symbol val="none"/>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COP'!$E$155,'Forage COP'!$H$155,'Forage COP'!$K$155,'Forage COP'!$N$155,'Forage COP'!$Q$155)</c15:sqref>
                  </c15:fullRef>
                </c:ext>
              </c:extLst>
              <c:f>('Forage COP'!$E$155,'Forage COP'!$H$155,'Forage COP'!$K$155)</c:f>
              <c:numCache>
                <c:formatCode>"$"#,##0.00</c:formatCode>
                <c:ptCount val="3"/>
                <c:pt idx="0">
                  <c:v>167.095</c:v>
                </c:pt>
                <c:pt idx="1">
                  <c:v>177.36746031746031</c:v>
                </c:pt>
                <c:pt idx="2">
                  <c:v>100.43523809523811</c:v>
                </c:pt>
              </c:numCache>
            </c:numRef>
          </c:val>
          <c:smooth val="0"/>
          <c:extLst>
            <c:ext xmlns:c16="http://schemas.microsoft.com/office/drawing/2014/chart" uri="{C3380CC4-5D6E-409C-BE32-E72D297353CC}">
              <c16:uniqueId val="{00000000-F9DA-47A6-AC70-B3A347664E36}"/>
            </c:ext>
          </c:extLst>
        </c:ser>
        <c:dLbls>
          <c:showLegendKey val="0"/>
          <c:showVal val="0"/>
          <c:showCatName val="0"/>
          <c:showSerName val="0"/>
          <c:showPercent val="0"/>
          <c:showBubbleSize val="0"/>
        </c:dLbls>
        <c:marker val="1"/>
        <c:smooth val="0"/>
        <c:axId val="830362392"/>
        <c:axId val="851049016"/>
      </c:lineChart>
      <c:catAx>
        <c:axId val="83036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51049016"/>
        <c:crosses val="autoZero"/>
        <c:auto val="1"/>
        <c:lblAlgn val="ctr"/>
        <c:lblOffset val="100"/>
        <c:noMultiLvlLbl val="0"/>
      </c:catAx>
      <c:valAx>
        <c:axId val="851049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wet</a:t>
                </a:r>
                <a:r>
                  <a:rPr lang="en-CA" baseline="0"/>
                  <a:t> </a:t>
                </a:r>
                <a:r>
                  <a:rPr lang="en-CA"/>
                  <a:t>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30362392"/>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CA" b="1"/>
              <a:t>Forage Cost of Production</a:t>
            </a:r>
            <a:r>
              <a:rPr lang="en-CA" b="1" baseline="0"/>
              <a:t> per Dry Ton</a:t>
            </a:r>
            <a:endParaRPr lang="en-CA"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CA"/>
        </a:p>
      </c:txPr>
    </c:title>
    <c:autoTitleDeleted val="0"/>
    <c:plotArea>
      <c:layout/>
      <c:barChart>
        <c:barDir val="col"/>
        <c:grouping val="stacked"/>
        <c:varyColors val="0"/>
        <c:ser>
          <c:idx val="0"/>
          <c:order val="0"/>
          <c:tx>
            <c:strRef>
              <c:f>'Forage COP'!$C$160</c:f>
              <c:strCache>
                <c:ptCount val="1"/>
                <c:pt idx="0">
                  <c:v>Cash Cost </c:v>
                </c:pt>
              </c:strCache>
            </c:strRef>
          </c:tx>
          <c:spPr>
            <a:solidFill>
              <a:srgbClr val="92D050"/>
            </a:solidFill>
            <a:ln>
              <a:noFill/>
            </a:ln>
            <a:effectLst/>
          </c:spPr>
          <c:invertIfNegative val="0"/>
          <c:dPt>
            <c:idx val="0"/>
            <c:invertIfNegative val="0"/>
            <c:bubble3D val="0"/>
            <c:spPr>
              <a:solidFill>
                <a:srgbClr val="92D050"/>
              </a:solidFill>
              <a:ln w="25400">
                <a:noFill/>
              </a:ln>
              <a:effectLst/>
            </c:spPr>
            <c:extLst>
              <c:ext xmlns:c16="http://schemas.microsoft.com/office/drawing/2014/chart" uri="{C3380CC4-5D6E-409C-BE32-E72D297353CC}">
                <c16:uniqueId val="{00000000-358B-4079-8FE3-4FC618CF85D4}"/>
              </c:ext>
            </c:extLst>
          </c:dPt>
          <c:dPt>
            <c:idx val="1"/>
            <c:invertIfNegative val="0"/>
            <c:bubble3D val="0"/>
            <c:spPr>
              <a:solidFill>
                <a:srgbClr val="92D050"/>
              </a:solidFill>
              <a:ln w="25400">
                <a:noFill/>
              </a:ln>
              <a:effectLst/>
            </c:spPr>
            <c:extLst>
              <c:ext xmlns:c16="http://schemas.microsoft.com/office/drawing/2014/chart" uri="{C3380CC4-5D6E-409C-BE32-E72D297353CC}">
                <c16:uniqueId val="{00000001-358B-4079-8FE3-4FC618CF85D4}"/>
              </c:ext>
            </c:extLst>
          </c:dPt>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COP'!$E$164,'Forage COP'!$H$164,'Forage COP'!$K$164,'Forage COP'!$N$164,'Forage COP'!$Q$164)</c15:sqref>
                  </c15:fullRef>
                </c:ext>
              </c:extLst>
              <c:f>('Forage COP'!$E$164,'Forage COP'!$H$164,'Forage COP'!$K$164)</c:f>
              <c:numCache>
                <c:formatCode>"$"#,##0.00</c:formatCode>
                <c:ptCount val="3"/>
                <c:pt idx="0">
                  <c:v>141.15168539325842</c:v>
                </c:pt>
                <c:pt idx="1">
                  <c:v>147.51649723559834</c:v>
                </c:pt>
                <c:pt idx="2">
                  <c:v>107.76190476190476</c:v>
                </c:pt>
              </c:numCache>
            </c:numRef>
          </c:val>
          <c:extLst>
            <c:ext xmlns:c16="http://schemas.microsoft.com/office/drawing/2014/chart" uri="{C3380CC4-5D6E-409C-BE32-E72D297353CC}">
              <c16:uniqueId val="{00000000-19F4-4581-9B39-A2AFC42A019B}"/>
            </c:ext>
          </c:extLst>
        </c:ser>
        <c:ser>
          <c:idx val="1"/>
          <c:order val="1"/>
          <c:tx>
            <c:strRef>
              <c:f>'Forage COP'!$C$166</c:f>
              <c:strCache>
                <c:ptCount val="1"/>
                <c:pt idx="0">
                  <c:v>Depreciation</c:v>
                </c:pt>
              </c:strCache>
            </c:strRef>
          </c:tx>
          <c:spPr>
            <a:solidFill>
              <a:schemeClr val="accent2"/>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COP'!$E$169,'Forage COP'!$H$169,'Forage COP'!$K$169,'Forage COP'!$N$169,'Forage COP'!$Q$169)</c15:sqref>
                  </c15:fullRef>
                </c:ext>
              </c:extLst>
              <c:f>('Forage COP'!$E$169,'Forage COP'!$H$169,'Forage COP'!$K$169)</c:f>
              <c:numCache>
                <c:formatCode>"$"#,##0.00</c:formatCode>
                <c:ptCount val="3"/>
                <c:pt idx="0">
                  <c:v>15.168539325842696</c:v>
                </c:pt>
                <c:pt idx="1">
                  <c:v>16.853932584269664</c:v>
                </c:pt>
                <c:pt idx="2">
                  <c:v>15.428571428571429</c:v>
                </c:pt>
              </c:numCache>
            </c:numRef>
          </c:val>
          <c:extLst>
            <c:ext xmlns:c16="http://schemas.microsoft.com/office/drawing/2014/chart" uri="{C3380CC4-5D6E-409C-BE32-E72D297353CC}">
              <c16:uniqueId val="{00000001-19F4-4581-9B39-A2AFC42A019B}"/>
            </c:ext>
          </c:extLst>
        </c:ser>
        <c:ser>
          <c:idx val="2"/>
          <c:order val="2"/>
          <c:tx>
            <c:strRef>
              <c:f>'Forage COP'!$C$171</c:f>
              <c:strCache>
                <c:ptCount val="1"/>
                <c:pt idx="0">
                  <c:v>Opportunity Cost </c:v>
                </c:pt>
              </c:strCache>
            </c:strRef>
          </c:tx>
          <c:spPr>
            <a:solidFill>
              <a:schemeClr val="tx2">
                <a:lumMod val="50000"/>
                <a:lumOff val="50000"/>
              </a:schemeClr>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COP'!$E$175,'Forage COP'!$H$175,'Forage COP'!$K$175,'Forage COP'!$N$175,'Forage COP'!$Q$175)</c15:sqref>
                  </c15:fullRef>
                </c:ext>
              </c:extLst>
              <c:f>('Forage COP'!$E$175,'Forage COP'!$H$175,'Forage COP'!$K$175)</c:f>
              <c:numCache>
                <c:formatCode>"$"#,##0.00</c:formatCode>
                <c:ptCount val="3"/>
                <c:pt idx="0">
                  <c:v>31.426966292134829</c:v>
                </c:pt>
                <c:pt idx="1">
                  <c:v>34.918851435705371</c:v>
                </c:pt>
                <c:pt idx="2">
                  <c:v>77.680000000000007</c:v>
                </c:pt>
              </c:numCache>
            </c:numRef>
          </c:val>
          <c:extLst>
            <c:ext xmlns:c16="http://schemas.microsoft.com/office/drawing/2014/chart" uri="{C3380CC4-5D6E-409C-BE32-E72D297353CC}">
              <c16:uniqueId val="{00000002-19F4-4581-9B39-A2AFC42A019B}"/>
            </c:ext>
          </c:extLst>
        </c:ser>
        <c:dLbls>
          <c:dLblPos val="ctr"/>
          <c:showLegendKey val="0"/>
          <c:showVal val="1"/>
          <c:showCatName val="0"/>
          <c:showSerName val="0"/>
          <c:showPercent val="0"/>
          <c:showBubbleSize val="0"/>
        </c:dLbls>
        <c:gapWidth val="69"/>
        <c:overlap val="100"/>
        <c:axId val="830362392"/>
        <c:axId val="851049016"/>
      </c:barChart>
      <c:lineChart>
        <c:grouping val="standard"/>
        <c:varyColors val="0"/>
        <c:ser>
          <c:idx val="3"/>
          <c:order val="3"/>
          <c:tx>
            <c:strRef>
              <c:f>'Forage COP'!$C$177</c:f>
              <c:strCache>
                <c:ptCount val="1"/>
                <c:pt idx="0">
                  <c:v>Total Production Cost per Dry Ton</c:v>
                </c:pt>
              </c:strCache>
            </c:strRef>
          </c:tx>
          <c:spPr>
            <a:ln w="28575" cap="rnd">
              <a:noFill/>
              <a:round/>
            </a:ln>
            <a:effectLst/>
          </c:spPr>
          <c:marker>
            <c:symbol val="none"/>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3"/>
              <c:pt idx="0">
                <c:v>Alfalfa Hay</c:v>
              </c:pt>
              <c:pt idx="1">
                <c:v>Mixed Grass Hay</c:v>
              </c:pt>
              <c:pt idx="2">
                <c:v>Alfalfa-grass Baled Silage</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('Forage COP'!$E$177,'Forage COP'!$H$177,'Forage COP'!$K$177,'Forage COP'!$N$177,'Forage COP'!$Q$177)</c15:sqref>
                  </c15:fullRef>
                </c:ext>
              </c:extLst>
              <c:f>('Forage COP'!$E$177,'Forage COP'!$H$177,'Forage COP'!$K$177)</c:f>
              <c:numCache>
                <c:formatCode>"$"#,##0.00</c:formatCode>
                <c:ptCount val="3"/>
                <c:pt idx="0">
                  <c:v>187.74719101123594</c:v>
                </c:pt>
                <c:pt idx="1">
                  <c:v>199.28928125557337</c:v>
                </c:pt>
                <c:pt idx="2">
                  <c:v>200.87047619047621</c:v>
                </c:pt>
              </c:numCache>
            </c:numRef>
          </c:val>
          <c:smooth val="0"/>
          <c:extLst>
            <c:ext xmlns:c16="http://schemas.microsoft.com/office/drawing/2014/chart" uri="{C3380CC4-5D6E-409C-BE32-E72D297353CC}">
              <c16:uniqueId val="{00000000-09F5-477A-99B5-9E33A8777E7A}"/>
            </c:ext>
          </c:extLst>
        </c:ser>
        <c:dLbls>
          <c:showLegendKey val="0"/>
          <c:showVal val="0"/>
          <c:showCatName val="0"/>
          <c:showSerName val="0"/>
          <c:showPercent val="0"/>
          <c:showBubbleSize val="0"/>
        </c:dLbls>
        <c:marker val="1"/>
        <c:smooth val="0"/>
        <c:axId val="830362392"/>
        <c:axId val="851049016"/>
      </c:lineChart>
      <c:catAx>
        <c:axId val="83036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51049016"/>
        <c:crosses val="autoZero"/>
        <c:auto val="1"/>
        <c:lblAlgn val="ctr"/>
        <c:lblOffset val="100"/>
        <c:noMultiLvlLbl val="0"/>
      </c:catAx>
      <c:valAx>
        <c:axId val="851049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dry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30362392"/>
        <c:crosses val="autoZero"/>
        <c:crossBetween val="between"/>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CA" b="1"/>
              <a:t>Overall Forage Cost of Production</a:t>
            </a:r>
            <a:r>
              <a:rPr lang="en-CA" b="1" baseline="0"/>
              <a:t> </a:t>
            </a:r>
          </a:p>
          <a:p>
            <a:pPr>
              <a:defRPr b="1"/>
            </a:pPr>
            <a:r>
              <a:rPr lang="en-CA" sz="1200" b="0" i="1" baseline="0"/>
              <a:t>($/ ton, dry matter)</a:t>
            </a:r>
            <a:endParaRPr lang="en-CA" sz="1200" b="0" i="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34715968597913366"/>
          <c:y val="0.45777911619564021"/>
          <c:w val="0.34871946067334497"/>
          <c:h val="0.57733369689665792"/>
        </c:manualLayout>
      </c:layout>
      <c:pieChart>
        <c:varyColors val="1"/>
        <c:ser>
          <c:idx val="0"/>
          <c:order val="0"/>
          <c:spPr>
            <a:ln w="12700">
              <a:solidFill>
                <a:schemeClr val="bg1">
                  <a:lumMod val="95000"/>
                </a:schemeClr>
              </a:solidFill>
            </a:ln>
          </c:spPr>
          <c:dPt>
            <c:idx val="0"/>
            <c:bubble3D val="0"/>
            <c:spPr>
              <a:solidFill>
                <a:schemeClr val="accent1"/>
              </a:solidFill>
              <a:ln w="12700">
                <a:solidFill>
                  <a:schemeClr val="bg1">
                    <a:lumMod val="95000"/>
                  </a:schemeClr>
                </a:solidFill>
              </a:ln>
              <a:effectLst/>
            </c:spPr>
            <c:extLst>
              <c:ext xmlns:c16="http://schemas.microsoft.com/office/drawing/2014/chart" uri="{C3380CC4-5D6E-409C-BE32-E72D297353CC}">
                <c16:uniqueId val="{00000001-7A5E-4F4D-94EF-87D889A36B90}"/>
              </c:ext>
            </c:extLst>
          </c:dPt>
          <c:dPt>
            <c:idx val="1"/>
            <c:bubble3D val="0"/>
            <c:spPr>
              <a:solidFill>
                <a:schemeClr val="accent2"/>
              </a:solidFill>
              <a:ln w="12700">
                <a:solidFill>
                  <a:schemeClr val="bg1">
                    <a:lumMod val="95000"/>
                  </a:schemeClr>
                </a:solidFill>
              </a:ln>
              <a:effectLst/>
            </c:spPr>
            <c:extLst>
              <c:ext xmlns:c16="http://schemas.microsoft.com/office/drawing/2014/chart" uri="{C3380CC4-5D6E-409C-BE32-E72D297353CC}">
                <c16:uniqueId val="{00000003-7A5E-4F4D-94EF-87D889A36B90}"/>
              </c:ext>
            </c:extLst>
          </c:dPt>
          <c:dPt>
            <c:idx val="2"/>
            <c:bubble3D val="0"/>
            <c:spPr>
              <a:solidFill>
                <a:schemeClr val="accent3"/>
              </a:solidFill>
              <a:ln w="12700">
                <a:solidFill>
                  <a:schemeClr val="bg1">
                    <a:lumMod val="95000"/>
                  </a:schemeClr>
                </a:solidFill>
              </a:ln>
              <a:effectLst/>
            </c:spPr>
            <c:extLst>
              <c:ext xmlns:c16="http://schemas.microsoft.com/office/drawing/2014/chart" uri="{C3380CC4-5D6E-409C-BE32-E72D297353CC}">
                <c16:uniqueId val="{00000005-7A5E-4F4D-94EF-87D889A36B90}"/>
              </c:ext>
            </c:extLst>
          </c:dPt>
          <c:dLbls>
            <c:dLbl>
              <c:idx val="0"/>
              <c:layout>
                <c:manualLayout>
                  <c:x val="2.1645249137669749E-2"/>
                  <c:y val="0"/>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A5E-4F4D-94EF-87D889A36B90}"/>
                </c:ext>
              </c:extLst>
            </c:dLbl>
            <c:dLbl>
              <c:idx val="1"/>
              <c:layout>
                <c:manualLayout>
                  <c:x val="-2.5252790660614709E-2"/>
                  <c:y val="0"/>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A5E-4F4D-94EF-87D889A36B90}"/>
                </c:ext>
              </c:extLst>
            </c:dLbl>
            <c:dLbl>
              <c:idx val="2"/>
              <c:layout>
                <c:manualLayout>
                  <c:x val="0"/>
                  <c:y val="3.6473710209192503E-2"/>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5-7A5E-4F4D-94EF-87D889A36B9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('Forage COP'!$C$160,'Forage COP'!$C$166,'Forage COP'!$C$171)</c:f>
              <c:strCache>
                <c:ptCount val="3"/>
                <c:pt idx="0">
                  <c:v>Cash Cost </c:v>
                </c:pt>
                <c:pt idx="1">
                  <c:v>Depreciation</c:v>
                </c:pt>
                <c:pt idx="2">
                  <c:v>Opportunity Cost </c:v>
                </c:pt>
              </c:strCache>
            </c:strRef>
          </c:cat>
          <c:val>
            <c:numRef>
              <c:f>('Forage COP'!$T$164,'Forage COP'!$T$169,'Forage COP'!$T$175)</c:f>
              <c:numCache>
                <c:formatCode>"$"#,##0.00</c:formatCode>
                <c:ptCount val="3"/>
                <c:pt idx="0">
                  <c:v>135.50284978856408</c:v>
                </c:pt>
                <c:pt idx="1">
                  <c:v>16.038016038016039</c:v>
                </c:pt>
                <c:pt idx="2">
                  <c:v>45.108405108405108</c:v>
                </c:pt>
              </c:numCache>
            </c:numRef>
          </c:val>
          <c:extLst>
            <c:ext xmlns:c16="http://schemas.microsoft.com/office/drawing/2014/chart" uri="{C3380CC4-5D6E-409C-BE32-E72D297353CC}">
              <c16:uniqueId val="{00000004-C84E-40CF-A0A1-0A91CF899F6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CA" b="1"/>
              <a:t>Forage Cost of Production</a:t>
            </a:r>
            <a:r>
              <a:rPr lang="en-CA" b="1" baseline="0"/>
              <a:t> per </a:t>
            </a:r>
            <a:r>
              <a:rPr lang="en-US" altLang="zh-CN" b="1" baseline="0"/>
              <a:t>A</a:t>
            </a:r>
            <a:r>
              <a:rPr lang="en-CA" b="1" baseline="0"/>
              <a:t>cre</a:t>
            </a:r>
            <a:endParaRPr lang="en-CA" b="1"/>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CA"/>
        </a:p>
      </c:txPr>
    </c:title>
    <c:autoTitleDeleted val="0"/>
    <c:plotArea>
      <c:layout/>
      <c:barChart>
        <c:barDir val="col"/>
        <c:grouping val="stacked"/>
        <c:varyColors val="0"/>
        <c:ser>
          <c:idx val="0"/>
          <c:order val="0"/>
          <c:tx>
            <c:strRef>
              <c:f>'Forage COP'!$C$116</c:f>
              <c:strCache>
                <c:ptCount val="1"/>
                <c:pt idx="0">
                  <c:v>Cash Cost </c:v>
                </c:pt>
              </c:strCache>
            </c:strRef>
          </c:tx>
          <c:spPr>
            <a:solidFill>
              <a:schemeClr val="accent6">
                <a:lumMod val="40000"/>
                <a:lumOff val="60000"/>
              </a:schemeClr>
            </a:solidFill>
            <a:ln>
              <a:noFill/>
            </a:ln>
            <a:effectLst/>
          </c:spPr>
          <c:invertIfNegative val="0"/>
          <c:dPt>
            <c:idx val="0"/>
            <c:invertIfNegative val="0"/>
            <c:bubble3D val="0"/>
            <c:spPr>
              <a:solidFill>
                <a:schemeClr val="accent6">
                  <a:lumMod val="40000"/>
                  <a:lumOff val="60000"/>
                </a:schemeClr>
              </a:solidFill>
              <a:ln w="25400">
                <a:noFill/>
              </a:ln>
              <a:effectLst/>
            </c:spPr>
            <c:extLst>
              <c:ext xmlns:c16="http://schemas.microsoft.com/office/drawing/2014/chart" uri="{C3380CC4-5D6E-409C-BE32-E72D297353CC}">
                <c16:uniqueId val="{00000001-D8D9-400F-9EAC-2B0895D4542A}"/>
              </c:ext>
            </c:extLst>
          </c:dPt>
          <c:dPt>
            <c:idx val="1"/>
            <c:invertIfNegative val="0"/>
            <c:bubble3D val="0"/>
            <c:spPr>
              <a:solidFill>
                <a:schemeClr val="accent6">
                  <a:lumMod val="40000"/>
                  <a:lumOff val="60000"/>
                </a:schemeClr>
              </a:solidFill>
              <a:ln w="25400">
                <a:noFill/>
              </a:ln>
              <a:effectLst/>
            </c:spPr>
            <c:extLst>
              <c:ext xmlns:c16="http://schemas.microsoft.com/office/drawing/2014/chart" uri="{C3380CC4-5D6E-409C-BE32-E72D297353CC}">
                <c16:uniqueId val="{00000002-D8D9-400F-9EAC-2B0895D4542A}"/>
              </c:ext>
            </c:extLst>
          </c:dPt>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COP'!$E$120,'Forage COP'!$H$120,'Forage COP'!$K$120,'Forage COP'!$N$120,'Forage COP'!$Q$120)</c15:sqref>
                  </c15:fullRef>
                </c:ext>
              </c:extLst>
              <c:f>('Forage COP'!$E$120,'Forage COP'!$H$120,'Forage COP'!$K$120)</c:f>
              <c:numCache>
                <c:formatCode>"$"#,##0.00</c:formatCode>
                <c:ptCount val="3"/>
                <c:pt idx="0">
                  <c:v>251.25</c:v>
                </c:pt>
                <c:pt idx="1">
                  <c:v>236.32142857142856</c:v>
                </c:pt>
                <c:pt idx="2">
                  <c:v>188.58333333333331</c:v>
                </c:pt>
              </c:numCache>
            </c:numRef>
          </c:val>
          <c:extLst>
            <c:ext xmlns:c16="http://schemas.microsoft.com/office/drawing/2014/chart" uri="{C3380CC4-5D6E-409C-BE32-E72D297353CC}">
              <c16:uniqueId val="{00000000-8522-4733-A2A4-43BEB60A2C96}"/>
            </c:ext>
          </c:extLst>
        </c:ser>
        <c:ser>
          <c:idx val="1"/>
          <c:order val="1"/>
          <c:tx>
            <c:strRef>
              <c:f>'Forage COP'!$C$166</c:f>
              <c:strCache>
                <c:ptCount val="1"/>
                <c:pt idx="0">
                  <c:v>Depreciation</c:v>
                </c:pt>
              </c:strCache>
            </c:strRef>
          </c:tx>
          <c:spPr>
            <a:solidFill>
              <a:schemeClr val="accent5">
                <a:lumMod val="40000"/>
                <a:lumOff val="60000"/>
              </a:schemeClr>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COP'!$E$125,'Forage COP'!$H$125,'Forage COP'!$K$125,'Forage COP'!$N$125,'Forage COP'!$Q$125)</c15:sqref>
                  </c15:fullRef>
                </c:ext>
              </c:extLst>
              <c:f>('Forage COP'!$E$125,'Forage COP'!$H$125,'Forage COP'!$K$125)</c:f>
              <c:numCache>
                <c:formatCode>"$"#,##0.00</c:formatCode>
                <c:ptCount val="3"/>
                <c:pt idx="0">
                  <c:v>27</c:v>
                </c:pt>
                <c:pt idx="1">
                  <c:v>27</c:v>
                </c:pt>
                <c:pt idx="2">
                  <c:v>27</c:v>
                </c:pt>
              </c:numCache>
            </c:numRef>
          </c:val>
          <c:extLst>
            <c:ext xmlns:c16="http://schemas.microsoft.com/office/drawing/2014/chart" uri="{C3380CC4-5D6E-409C-BE32-E72D297353CC}">
              <c16:uniqueId val="{00000001-8522-4733-A2A4-43BEB60A2C96}"/>
            </c:ext>
          </c:extLst>
        </c:ser>
        <c:ser>
          <c:idx val="2"/>
          <c:order val="2"/>
          <c:tx>
            <c:strRef>
              <c:f>'Forage COP'!$C$171</c:f>
              <c:strCache>
                <c:ptCount val="1"/>
                <c:pt idx="0">
                  <c:v>Opportunity Cost </c:v>
                </c:pt>
              </c:strCache>
            </c:strRef>
          </c:tx>
          <c:spPr>
            <a:solidFill>
              <a:schemeClr val="accent4"/>
            </a:solidFill>
            <a:ln>
              <a:noFill/>
            </a:ln>
            <a:effectLst/>
          </c:spPr>
          <c:invertIfNegative val="0"/>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COP'!$E$131,'Forage COP'!$H$131,'Forage COP'!$K$131,'Forage COP'!$N$131,'Forage COP'!$Q$131)</c15:sqref>
                  </c15:fullRef>
                </c:ext>
              </c:extLst>
              <c:f>('Forage COP'!$E$131,'Forage COP'!$H$131,'Forage COP'!$K$131)</c:f>
              <c:numCache>
                <c:formatCode>"$"#,##0.00</c:formatCode>
                <c:ptCount val="3"/>
                <c:pt idx="0">
                  <c:v>55.94</c:v>
                </c:pt>
                <c:pt idx="1">
                  <c:v>55.94</c:v>
                </c:pt>
                <c:pt idx="2">
                  <c:v>135.94</c:v>
                </c:pt>
              </c:numCache>
            </c:numRef>
          </c:val>
          <c:extLst>
            <c:ext xmlns:c16="http://schemas.microsoft.com/office/drawing/2014/chart" uri="{C3380CC4-5D6E-409C-BE32-E72D297353CC}">
              <c16:uniqueId val="{00000002-8522-4733-A2A4-43BEB60A2C96}"/>
            </c:ext>
          </c:extLst>
        </c:ser>
        <c:dLbls>
          <c:showLegendKey val="0"/>
          <c:showVal val="1"/>
          <c:showCatName val="0"/>
          <c:showSerName val="0"/>
          <c:showPercent val="0"/>
          <c:showBubbleSize val="0"/>
        </c:dLbls>
        <c:gapWidth val="69"/>
        <c:overlap val="100"/>
        <c:axId val="830362392"/>
        <c:axId val="851049016"/>
      </c:barChart>
      <c:lineChart>
        <c:grouping val="standard"/>
        <c:varyColors val="0"/>
        <c:ser>
          <c:idx val="3"/>
          <c:order val="3"/>
          <c:tx>
            <c:strRef>
              <c:f>'Forage COP'!$C$133</c:f>
              <c:strCache>
                <c:ptCount val="1"/>
                <c:pt idx="0">
                  <c:v>Total Production Cost per Acre</c:v>
                </c:pt>
              </c:strCache>
            </c:strRef>
          </c:tx>
          <c:spPr>
            <a:ln w="28575" cap="rnd">
              <a:noFill/>
              <a:round/>
            </a:ln>
            <a:effectLst/>
          </c:spPr>
          <c:marker>
            <c:symbol val="none"/>
          </c:marker>
          <c:dLbls>
            <c:numFmt formatCode="&quot;$&quot;#,##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('Forage COP'!$E$16,'Forage COP'!$H$16,'Forage COP'!$K$16,'Forage COP'!$N$16,'Forage COP'!$Q$16)</c15:sqref>
                  </c15:fullRef>
                </c:ext>
              </c:extLst>
              <c:f>('Forage COP'!$E$16,'Forage COP'!$H$16,'Forage COP'!$K$16)</c:f>
              <c:strCache>
                <c:ptCount val="3"/>
                <c:pt idx="0">
                  <c:v>Alfalfa Hay</c:v>
                </c:pt>
                <c:pt idx="1">
                  <c:v>Mixed Grass Hay</c:v>
                </c:pt>
                <c:pt idx="2">
                  <c:v>Alfalfa-grass Baled Silage</c:v>
                </c:pt>
              </c:strCache>
            </c:strRef>
          </c:cat>
          <c:val>
            <c:numRef>
              <c:extLst>
                <c:ext xmlns:c15="http://schemas.microsoft.com/office/drawing/2012/chart" uri="{02D57815-91ED-43cb-92C2-25804820EDAC}">
                  <c15:fullRef>
                    <c15:sqref>('Forage COP'!$E$133,'Forage COP'!$H$133,'Forage COP'!$K$133,'Forage COP'!$N$133,'Forage COP'!$Q$133)</c15:sqref>
                  </c15:fullRef>
                </c:ext>
              </c:extLst>
              <c:f>('Forage COP'!$E$133,'Forage COP'!$H$133,'Forage COP'!$K$133)</c:f>
              <c:numCache>
                <c:formatCode>"$"#,##0.00</c:formatCode>
                <c:ptCount val="3"/>
                <c:pt idx="0">
                  <c:v>334.19</c:v>
                </c:pt>
                <c:pt idx="1">
                  <c:v>319.26142857142855</c:v>
                </c:pt>
                <c:pt idx="2">
                  <c:v>351.52333333333331</c:v>
                </c:pt>
              </c:numCache>
            </c:numRef>
          </c:val>
          <c:smooth val="0"/>
          <c:extLst>
            <c:ext xmlns:c16="http://schemas.microsoft.com/office/drawing/2014/chart" uri="{C3380CC4-5D6E-409C-BE32-E72D297353CC}">
              <c16:uniqueId val="{00000003-8522-4733-A2A4-43BEB60A2C96}"/>
            </c:ext>
          </c:extLst>
        </c:ser>
        <c:dLbls>
          <c:showLegendKey val="0"/>
          <c:showVal val="1"/>
          <c:showCatName val="0"/>
          <c:showSerName val="0"/>
          <c:showPercent val="0"/>
          <c:showBubbleSize val="0"/>
        </c:dLbls>
        <c:marker val="1"/>
        <c:smooth val="0"/>
        <c:axId val="830362392"/>
        <c:axId val="851049016"/>
      </c:lineChart>
      <c:catAx>
        <c:axId val="830362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851049016"/>
        <c:crosses val="autoZero"/>
        <c:auto val="1"/>
        <c:lblAlgn val="ctr"/>
        <c:lblOffset val="100"/>
        <c:noMultiLvlLbl val="0"/>
      </c:catAx>
      <c:valAx>
        <c:axId val="8510490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acre</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830362392"/>
        <c:crosses val="autoZero"/>
        <c:crossBetween val="between"/>
        <c:majorUnit val="50"/>
      </c:valAx>
      <c:spPr>
        <a:noFill/>
        <a:ln>
          <a:noFill/>
        </a:ln>
        <a:effectLst/>
      </c:spPr>
    </c:plotArea>
    <c:legend>
      <c:legendPos val="t"/>
      <c:legendEntry>
        <c:idx val="3"/>
        <c:delete val="1"/>
      </c:legendEntry>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4</xdr:col>
      <xdr:colOff>67236</xdr:colOff>
      <xdr:row>177</xdr:row>
      <xdr:rowOff>103280</xdr:rowOff>
    </xdr:from>
    <xdr:to>
      <xdr:col>9</xdr:col>
      <xdr:colOff>84758</xdr:colOff>
      <xdr:row>192</xdr:row>
      <xdr:rowOff>10256</xdr:rowOff>
    </xdr:to>
    <xdr:graphicFrame macro="">
      <xdr:nvGraphicFramePr>
        <xdr:cNvPr id="2" name="Chart 1">
          <a:extLst>
            <a:ext uri="{FF2B5EF4-FFF2-40B4-BE49-F238E27FC236}">
              <a16:creationId xmlns:a16="http://schemas.microsoft.com/office/drawing/2014/main" id="{66EAA442-A749-75F7-F9BB-EFC8C1984F2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22413</xdr:colOff>
      <xdr:row>177</xdr:row>
      <xdr:rowOff>101938</xdr:rowOff>
    </xdr:from>
    <xdr:to>
      <xdr:col>14</xdr:col>
      <xdr:colOff>456355</xdr:colOff>
      <xdr:row>192</xdr:row>
      <xdr:rowOff>10189</xdr:rowOff>
    </xdr:to>
    <xdr:graphicFrame macro="">
      <xdr:nvGraphicFramePr>
        <xdr:cNvPr id="3" name="Chart 2">
          <a:extLst>
            <a:ext uri="{FF2B5EF4-FFF2-40B4-BE49-F238E27FC236}">
              <a16:creationId xmlns:a16="http://schemas.microsoft.com/office/drawing/2014/main" id="{21A68449-D1D3-478D-8C3C-6785F4E02A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183092</xdr:colOff>
      <xdr:row>0</xdr:row>
      <xdr:rowOff>45508</xdr:rowOff>
    </xdr:from>
    <xdr:to>
      <xdr:col>3</xdr:col>
      <xdr:colOff>2800817</xdr:colOff>
      <xdr:row>5</xdr:row>
      <xdr:rowOff>19262</xdr:rowOff>
    </xdr:to>
    <xdr:pic>
      <xdr:nvPicPr>
        <xdr:cNvPr id="4" name="Picture 4">
          <a:extLst>
            <a:ext uri="{FF2B5EF4-FFF2-40B4-BE49-F238E27FC236}">
              <a16:creationId xmlns:a16="http://schemas.microsoft.com/office/drawing/2014/main" id="{F9D3D814-B5B5-4E9F-8165-9A43003C9CE5}"/>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792692" y="45508"/>
          <a:ext cx="2606930" cy="982134"/>
        </a:xfrm>
        <a:prstGeom prst="rect">
          <a:avLst/>
        </a:prstGeom>
        <a:noFill/>
        <a:ln w="1">
          <a:noFill/>
          <a:miter lim="800000"/>
          <a:headEnd/>
          <a:tailEnd type="none" w="med" len="med"/>
        </a:ln>
        <a:effectLst/>
      </xdr:spPr>
    </xdr:pic>
    <xdr:clientData/>
  </xdr:twoCellAnchor>
  <xdr:twoCellAnchor>
    <xdr:from>
      <xdr:col>7</xdr:col>
      <xdr:colOff>17620</xdr:colOff>
      <xdr:row>55</xdr:row>
      <xdr:rowOff>38975</xdr:rowOff>
    </xdr:from>
    <xdr:to>
      <xdr:col>12</xdr:col>
      <xdr:colOff>10102</xdr:colOff>
      <xdr:row>66</xdr:row>
      <xdr:rowOff>74543</xdr:rowOff>
    </xdr:to>
    <xdr:sp macro="" textlink="">
      <xdr:nvSpPr>
        <xdr:cNvPr id="5" name="TextBox 4">
          <a:extLst>
            <a:ext uri="{FF2B5EF4-FFF2-40B4-BE49-F238E27FC236}">
              <a16:creationId xmlns:a16="http://schemas.microsoft.com/office/drawing/2014/main" id="{12D30B8D-34C1-2AF1-E1F7-7C803659B180}"/>
            </a:ext>
          </a:extLst>
        </xdr:cNvPr>
        <xdr:cNvSpPr txBox="1"/>
      </xdr:nvSpPr>
      <xdr:spPr>
        <a:xfrm>
          <a:off x="6022511" y="10740105"/>
          <a:ext cx="3835613" cy="20979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Forage</a:t>
          </a:r>
          <a:r>
            <a:rPr lang="en-CA" sz="1100" b="1" baseline="0"/>
            <a:t> Production as a % of Whole Farm</a:t>
          </a:r>
          <a:endParaRPr lang="en-CA" sz="1100" b="1"/>
        </a:p>
        <a:p>
          <a:endParaRPr lang="en-CA" sz="400"/>
        </a:p>
        <a:p>
          <a:r>
            <a:rPr lang="en-CA" sz="1100" b="1"/>
            <a:t>Option 1</a:t>
          </a:r>
          <a:r>
            <a:rPr lang="en-CA" sz="1100"/>
            <a:t>- If the overhead costs are for the </a:t>
          </a:r>
          <a:r>
            <a:rPr lang="en-CA" sz="1100" b="1"/>
            <a:t>entire</a:t>
          </a:r>
          <a:r>
            <a:rPr lang="en-CA" sz="1100" b="1" baseline="0"/>
            <a:t> farm</a:t>
          </a:r>
          <a:r>
            <a:rPr lang="en-CA" sz="1100" baseline="0"/>
            <a:t>, please </a:t>
          </a:r>
          <a:r>
            <a:rPr lang="en-CA" sz="1100">
              <a:solidFill>
                <a:schemeClr val="dk1"/>
              </a:solidFill>
              <a:effectLst/>
              <a:latin typeface="+mn-lt"/>
              <a:ea typeface="+mn-ea"/>
              <a:cs typeface="+mn-cs"/>
            </a:rPr>
            <a:t>specify the percentage for forage production.</a:t>
          </a:r>
          <a:endParaRPr lang="en-CA" sz="1100"/>
        </a:p>
        <a:p>
          <a:r>
            <a:rPr lang="en-CA" sz="1100"/>
            <a:t>Considerations:</a:t>
          </a:r>
        </a:p>
        <a:p>
          <a:r>
            <a:rPr lang="en-CA" sz="1100"/>
            <a:t>- What portion of revenue comes from forage or enterprises that utilize the homegrown forage? </a:t>
          </a:r>
        </a:p>
        <a:p>
          <a:r>
            <a:rPr lang="en-CA" sz="1100"/>
            <a:t>- What portion of machinery operating time is spent on forage production versus annual crops? </a:t>
          </a:r>
        </a:p>
        <a:p>
          <a:endParaRPr lang="en-CA" sz="400"/>
        </a:p>
        <a:p>
          <a:pPr marL="0" marR="0" lvl="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mn-lt"/>
              <a:ea typeface="+mn-ea"/>
              <a:cs typeface="+mn-cs"/>
            </a:rPr>
            <a:t>Option 2</a:t>
          </a:r>
          <a:r>
            <a:rPr lang="en-CA" sz="1100">
              <a:solidFill>
                <a:schemeClr val="dk1"/>
              </a:solidFill>
              <a:effectLst/>
              <a:latin typeface="+mn-lt"/>
              <a:ea typeface="+mn-ea"/>
              <a:cs typeface="+mn-cs"/>
            </a:rPr>
            <a:t> - </a:t>
          </a:r>
          <a:r>
            <a:rPr lang="en-CA" sz="1100" b="0" i="0">
              <a:solidFill>
                <a:schemeClr val="dk1"/>
              </a:solidFill>
              <a:effectLst/>
              <a:latin typeface="+mn-lt"/>
              <a:ea typeface="+mn-ea"/>
              <a:cs typeface="+mn-cs"/>
            </a:rPr>
            <a:t>If the overhead costs are </a:t>
          </a:r>
          <a:r>
            <a:rPr lang="en-CA" sz="1100" b="1" i="0">
              <a:solidFill>
                <a:schemeClr val="dk1"/>
              </a:solidFill>
              <a:effectLst/>
              <a:latin typeface="+mn-lt"/>
              <a:ea typeface="+mn-ea"/>
              <a:cs typeface="+mn-cs"/>
            </a:rPr>
            <a:t>exclusive to forage production</a:t>
          </a:r>
          <a:r>
            <a:rPr lang="en-CA" sz="1100" b="0" i="0">
              <a:solidFill>
                <a:schemeClr val="dk1"/>
              </a:solidFill>
              <a:effectLst/>
              <a:latin typeface="+mn-lt"/>
              <a:ea typeface="+mn-ea"/>
              <a:cs typeface="+mn-cs"/>
            </a:rPr>
            <a:t> and not the entire farm, please allocate 100% for forage production.</a:t>
          </a:r>
          <a:endParaRPr lang="en-CA">
            <a:effectLst/>
          </a:endParaRPr>
        </a:p>
        <a:p>
          <a:endParaRPr lang="en-CA" sz="1100"/>
        </a:p>
      </xdr:txBody>
    </xdr:sp>
    <xdr:clientData/>
  </xdr:twoCellAnchor>
  <xdr:twoCellAnchor>
    <xdr:from>
      <xdr:col>7</xdr:col>
      <xdr:colOff>7408</xdr:colOff>
      <xdr:row>105</xdr:row>
      <xdr:rowOff>113241</xdr:rowOff>
    </xdr:from>
    <xdr:to>
      <xdr:col>11</xdr:col>
      <xdr:colOff>583143</xdr:colOff>
      <xdr:row>109</xdr:row>
      <xdr:rowOff>104775</xdr:rowOff>
    </xdr:to>
    <xdr:sp macro="" textlink="">
      <xdr:nvSpPr>
        <xdr:cNvPr id="6" name="TextBox 5">
          <a:extLst>
            <a:ext uri="{FF2B5EF4-FFF2-40B4-BE49-F238E27FC236}">
              <a16:creationId xmlns:a16="http://schemas.microsoft.com/office/drawing/2014/main" id="{9DF0678F-9334-4F06-A542-8CFF440A0E74}"/>
            </a:ext>
          </a:extLst>
        </xdr:cNvPr>
        <xdr:cNvSpPr txBox="1"/>
      </xdr:nvSpPr>
      <xdr:spPr>
        <a:xfrm>
          <a:off x="5960533" y="17791641"/>
          <a:ext cx="3518960" cy="6487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Unpaid Labour Cost per Hour</a:t>
          </a:r>
          <a:endParaRPr lang="en-CA" sz="1100" b="1" baseline="0"/>
        </a:p>
        <a:p>
          <a:r>
            <a:rPr lang="en-CA" sz="1100" b="0" baseline="0"/>
            <a:t>Consideration: </a:t>
          </a:r>
          <a:r>
            <a:rPr lang="en-CA" sz="1100"/>
            <a:t>What you would have to pay someone else to do the job?</a:t>
          </a:r>
        </a:p>
      </xdr:txBody>
    </xdr:sp>
    <xdr:clientData/>
  </xdr:twoCellAnchor>
  <xdr:twoCellAnchor>
    <xdr:from>
      <xdr:col>7</xdr:col>
      <xdr:colOff>9525</xdr:colOff>
      <xdr:row>75</xdr:row>
      <xdr:rowOff>1</xdr:rowOff>
    </xdr:from>
    <xdr:to>
      <xdr:col>11</xdr:col>
      <xdr:colOff>590551</xdr:colOff>
      <xdr:row>82</xdr:row>
      <xdr:rowOff>171450</xdr:rowOff>
    </xdr:to>
    <xdr:sp macro="" textlink="">
      <xdr:nvSpPr>
        <xdr:cNvPr id="7" name="TextBox 6">
          <a:extLst>
            <a:ext uri="{FF2B5EF4-FFF2-40B4-BE49-F238E27FC236}">
              <a16:creationId xmlns:a16="http://schemas.microsoft.com/office/drawing/2014/main" id="{9BF3F2BA-4EF1-4926-BD05-8C29CC230D25}"/>
            </a:ext>
          </a:extLst>
        </xdr:cNvPr>
        <xdr:cNvSpPr txBox="1"/>
      </xdr:nvSpPr>
      <xdr:spPr>
        <a:xfrm>
          <a:off x="5962650" y="12820651"/>
          <a:ext cx="3524251" cy="1352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Depreciation on machinery and buildings </a:t>
          </a:r>
          <a:r>
            <a:rPr lang="en-CA" sz="1100" b="0"/>
            <a:t>is a non-cash cost that reveals the ability of the farm to continue operating if an asset needs replacement. </a:t>
          </a:r>
        </a:p>
        <a:p>
          <a:r>
            <a:rPr lang="en-CA" sz="1100" b="0"/>
            <a:t>It is calculated as:</a:t>
          </a:r>
        </a:p>
        <a:p>
          <a:r>
            <a:rPr lang="en-CA" sz="1100" b="0"/>
            <a:t>Depreciation = (Current Market Value -Salvage Value)</a:t>
          </a:r>
          <a:r>
            <a:rPr lang="en-CA" sz="1100" b="0" baseline="0"/>
            <a:t> X </a:t>
          </a:r>
          <a:r>
            <a:rPr lang="en-CA" sz="1100" b="0"/>
            <a:t>Forage Usage % / Years of Useful Life.</a:t>
          </a:r>
        </a:p>
      </xdr:txBody>
    </xdr:sp>
    <xdr:clientData/>
  </xdr:twoCellAnchor>
  <xdr:twoCellAnchor>
    <xdr:from>
      <xdr:col>7</xdr:col>
      <xdr:colOff>11457</xdr:colOff>
      <xdr:row>91</xdr:row>
      <xdr:rowOff>35477</xdr:rowOff>
    </xdr:from>
    <xdr:to>
      <xdr:col>12</xdr:col>
      <xdr:colOff>8421</xdr:colOff>
      <xdr:row>97</xdr:row>
      <xdr:rowOff>68192</xdr:rowOff>
    </xdr:to>
    <xdr:sp macro="" textlink="">
      <xdr:nvSpPr>
        <xdr:cNvPr id="8" name="TextBox 7">
          <a:extLst>
            <a:ext uri="{FF2B5EF4-FFF2-40B4-BE49-F238E27FC236}">
              <a16:creationId xmlns:a16="http://schemas.microsoft.com/office/drawing/2014/main" id="{D9621FD5-6166-4A36-9A7C-210ACFECE0E8}"/>
            </a:ext>
          </a:extLst>
        </xdr:cNvPr>
        <xdr:cNvSpPr txBox="1"/>
      </xdr:nvSpPr>
      <xdr:spPr>
        <a:xfrm>
          <a:off x="6016348" y="17221890"/>
          <a:ext cx="3840095" cy="12005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none">
              <a:solidFill>
                <a:schemeClr val="dk1"/>
              </a:solidFill>
              <a:effectLst/>
              <a:latin typeface="+mn-lt"/>
              <a:ea typeface="+mn-ea"/>
              <a:cs typeface="+mn-cs"/>
            </a:rPr>
            <a:t>The opportunity cost on owned machinery and buildings </a:t>
          </a:r>
          <a:r>
            <a:rPr lang="en-CA" sz="1100" b="0">
              <a:solidFill>
                <a:schemeClr val="dk1"/>
              </a:solidFill>
              <a:effectLst/>
              <a:latin typeface="+mn-lt"/>
              <a:ea typeface="+mn-ea"/>
              <a:cs typeface="+mn-cs"/>
            </a:rPr>
            <a:t>refers to the potential return on investment that could have been earned if the capital used to purchase these assets had been invested elsewhere. </a:t>
          </a:r>
        </a:p>
        <a:p>
          <a:r>
            <a:rPr lang="en-CA" sz="1100" b="0">
              <a:solidFill>
                <a:schemeClr val="dk1"/>
              </a:solidFill>
              <a:effectLst/>
              <a:latin typeface="+mn-lt"/>
              <a:ea typeface="+mn-ea"/>
              <a:cs typeface="+mn-cs"/>
            </a:rPr>
            <a:t>It</a:t>
          </a:r>
          <a:r>
            <a:rPr lang="en-CA" sz="1100" b="0" baseline="0">
              <a:solidFill>
                <a:schemeClr val="dk1"/>
              </a:solidFill>
              <a:effectLst/>
              <a:latin typeface="+mn-lt"/>
              <a:ea typeface="+mn-ea"/>
              <a:cs typeface="+mn-cs"/>
            </a:rPr>
            <a:t> is</a:t>
          </a:r>
          <a:r>
            <a:rPr lang="en-CA" sz="1100" b="0">
              <a:solidFill>
                <a:schemeClr val="dk1"/>
              </a:solidFill>
              <a:effectLst/>
              <a:latin typeface="+mn-lt"/>
              <a:ea typeface="+mn-ea"/>
              <a:cs typeface="+mn-cs"/>
            </a:rPr>
            <a:t> included in the Opportunity Cost on Capital in the Result Summary section.</a:t>
          </a:r>
        </a:p>
      </xdr:txBody>
    </xdr:sp>
    <xdr:clientData/>
  </xdr:twoCellAnchor>
  <xdr:twoCellAnchor editAs="oneCell">
    <xdr:from>
      <xdr:col>14</xdr:col>
      <xdr:colOff>480172</xdr:colOff>
      <xdr:row>177</xdr:row>
      <xdr:rowOff>95997</xdr:rowOff>
    </xdr:from>
    <xdr:to>
      <xdr:col>20</xdr:col>
      <xdr:colOff>683634</xdr:colOff>
      <xdr:row>192</xdr:row>
      <xdr:rowOff>12045</xdr:rowOff>
    </xdr:to>
    <xdr:graphicFrame macro="">
      <xdr:nvGraphicFramePr>
        <xdr:cNvPr id="9" name="Chart 8">
          <a:extLst>
            <a:ext uri="{FF2B5EF4-FFF2-40B4-BE49-F238E27FC236}">
              <a16:creationId xmlns:a16="http://schemas.microsoft.com/office/drawing/2014/main" id="{D9AAD327-5C5F-4AC0-A5C7-7F0FF0D36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8282</xdr:colOff>
      <xdr:row>83</xdr:row>
      <xdr:rowOff>49696</xdr:rowOff>
    </xdr:from>
    <xdr:to>
      <xdr:col>12</xdr:col>
      <xdr:colOff>2071</xdr:colOff>
      <xdr:row>90</xdr:row>
      <xdr:rowOff>118578</xdr:rowOff>
    </xdr:to>
    <xdr:sp macro="" textlink="">
      <xdr:nvSpPr>
        <xdr:cNvPr id="10" name="TextBox 9">
          <a:extLst>
            <a:ext uri="{FF2B5EF4-FFF2-40B4-BE49-F238E27FC236}">
              <a16:creationId xmlns:a16="http://schemas.microsoft.com/office/drawing/2014/main" id="{D07377C6-6BCD-4A76-AA56-D048A523AF5E}"/>
            </a:ext>
          </a:extLst>
        </xdr:cNvPr>
        <xdr:cNvSpPr txBox="1"/>
      </xdr:nvSpPr>
      <xdr:spPr>
        <a:xfrm>
          <a:off x="6013173" y="15794935"/>
          <a:ext cx="3836920" cy="1327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Forage usage % for machinery and buildin</a:t>
          </a:r>
          <a:r>
            <a:rPr lang="en-CA" sz="1100" b="1" baseline="0"/>
            <a:t>gs</a:t>
          </a:r>
        </a:p>
        <a:p>
          <a:endParaRPr lang="en-CA" sz="400" b="1" baseline="0"/>
        </a:p>
        <a:p>
          <a:pPr marL="0" marR="0" lvl="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mn-lt"/>
              <a:ea typeface="+mn-ea"/>
              <a:cs typeface="+mn-cs"/>
            </a:rPr>
            <a:t>Option 1 </a:t>
          </a:r>
          <a:r>
            <a:rPr lang="en-CA" sz="1100">
              <a:solidFill>
                <a:schemeClr val="dk1"/>
              </a:solidFill>
              <a:effectLst/>
              <a:latin typeface="+mn-lt"/>
              <a:ea typeface="+mn-ea"/>
              <a:cs typeface="+mn-cs"/>
            </a:rPr>
            <a:t>- If the </a:t>
          </a:r>
          <a:r>
            <a:rPr lang="en-CA" sz="1100" baseline="0">
              <a:solidFill>
                <a:schemeClr val="dk1"/>
              </a:solidFill>
              <a:effectLst/>
              <a:latin typeface="+mn-lt"/>
              <a:ea typeface="+mn-ea"/>
              <a:cs typeface="+mn-cs"/>
            </a:rPr>
            <a:t>current market value is for </a:t>
          </a:r>
          <a:r>
            <a:rPr lang="en-CA" sz="1100" b="1">
              <a:solidFill>
                <a:schemeClr val="dk1"/>
              </a:solidFill>
              <a:effectLst/>
              <a:latin typeface="+mn-lt"/>
              <a:ea typeface="+mn-ea"/>
              <a:cs typeface="+mn-cs"/>
            </a:rPr>
            <a:t>all equipment or buildings on the entire farm</a:t>
          </a:r>
          <a:r>
            <a:rPr lang="en-CA" sz="1100">
              <a:solidFill>
                <a:schemeClr val="dk1"/>
              </a:solidFill>
              <a:effectLst/>
              <a:latin typeface="+mn-lt"/>
              <a:ea typeface="+mn-ea"/>
              <a:cs typeface="+mn-cs"/>
            </a:rPr>
            <a:t>, please specify the percentage used for forage as the forage usage %.</a:t>
          </a:r>
          <a:endParaRPr lang="en-CA">
            <a:effectLst/>
          </a:endParaRPr>
        </a:p>
        <a:p>
          <a:endParaRPr lang="en-CA" sz="400" b="1" baseline="0"/>
        </a:p>
        <a:p>
          <a:r>
            <a:rPr lang="en-CA" sz="1100" b="1" baseline="0"/>
            <a:t>Option 2 </a:t>
          </a:r>
          <a:r>
            <a:rPr lang="en-CA" sz="1100" b="0" baseline="0"/>
            <a:t>- If the current market value is for </a:t>
          </a:r>
          <a:r>
            <a:rPr lang="en-CA" sz="1100" b="1" baseline="0"/>
            <a:t>forage-specific</a:t>
          </a:r>
          <a:r>
            <a:rPr lang="en-CA" sz="1100" b="0" baseline="0"/>
            <a:t> equipment or buildings, please input 100% for forage usage %.</a:t>
          </a:r>
        </a:p>
        <a:p>
          <a:endParaRPr lang="en-CA" sz="400" b="0" baseline="0"/>
        </a:p>
      </xdr:txBody>
    </xdr:sp>
    <xdr:clientData/>
  </xdr:twoCellAnchor>
  <xdr:twoCellAnchor editAs="oneCell">
    <xdr:from>
      <xdr:col>1</xdr:col>
      <xdr:colOff>110566</xdr:colOff>
      <xdr:row>177</xdr:row>
      <xdr:rowOff>107203</xdr:rowOff>
    </xdr:from>
    <xdr:to>
      <xdr:col>4</xdr:col>
      <xdr:colOff>30409</xdr:colOff>
      <xdr:row>192</xdr:row>
      <xdr:rowOff>12279</xdr:rowOff>
    </xdr:to>
    <xdr:graphicFrame macro="">
      <xdr:nvGraphicFramePr>
        <xdr:cNvPr id="11" name="Chart 10">
          <a:extLst>
            <a:ext uri="{FF2B5EF4-FFF2-40B4-BE49-F238E27FC236}">
              <a16:creationId xmlns:a16="http://schemas.microsoft.com/office/drawing/2014/main" id="{631E4821-B2AD-490F-9DDD-A8D04455BC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0.68395</cdr:x>
      <cdr:y>0.26405</cdr:y>
    </cdr:from>
    <cdr:to>
      <cdr:x>0.94496</cdr:x>
      <cdr:y>0.41117</cdr:y>
    </cdr:to>
    <cdr:sp macro="" textlink="">
      <cdr:nvSpPr>
        <cdr:cNvPr id="2" name="TextBox 1">
          <a:extLst xmlns:a="http://schemas.openxmlformats.org/drawingml/2006/main">
            <a:ext uri="{FF2B5EF4-FFF2-40B4-BE49-F238E27FC236}">
              <a16:creationId xmlns:a16="http://schemas.microsoft.com/office/drawing/2014/main" id="{3556E09B-0F4E-DB1F-C11D-CB2DC650093A}"/>
            </a:ext>
          </a:extLst>
        </cdr:cNvPr>
        <cdr:cNvSpPr txBox="1"/>
      </cdr:nvSpPr>
      <cdr:spPr>
        <a:xfrm xmlns:a="http://schemas.openxmlformats.org/drawingml/2006/main">
          <a:off x="2407771" y="643592"/>
          <a:ext cx="918882" cy="3585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CA" sz="1100"/>
        </a:p>
      </cdr:txBody>
    </cdr:sp>
  </cdr:relSizeAnchor>
  <cdr:relSizeAnchor xmlns:cdr="http://schemas.openxmlformats.org/drawingml/2006/chartDrawing">
    <cdr:from>
      <cdr:x>0.36589</cdr:x>
      <cdr:y>0.1813</cdr:y>
    </cdr:from>
    <cdr:to>
      <cdr:x>0.54733</cdr:x>
      <cdr:y>0.32382</cdr:y>
    </cdr:to>
    <cdr:sp macro="" textlink="">
      <cdr:nvSpPr>
        <cdr:cNvPr id="4" name="TextBox 3">
          <a:extLst xmlns:a="http://schemas.openxmlformats.org/drawingml/2006/main">
            <a:ext uri="{FF2B5EF4-FFF2-40B4-BE49-F238E27FC236}">
              <a16:creationId xmlns:a16="http://schemas.microsoft.com/office/drawing/2014/main" id="{123E9BA0-D613-6C29-ACD2-E80CF1F1325F}"/>
            </a:ext>
          </a:extLst>
        </cdr:cNvPr>
        <cdr:cNvSpPr txBox="1"/>
      </cdr:nvSpPr>
      <cdr:spPr>
        <a:xfrm xmlns:a="http://schemas.openxmlformats.org/drawingml/2006/main">
          <a:off x="1286656" y="457784"/>
          <a:ext cx="638028" cy="3598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CA" sz="1100" b="1"/>
            <a:t>Total:</a:t>
          </a:r>
        </a:p>
      </cdr:txBody>
    </cdr:sp>
  </cdr:relSizeAnchor>
  <cdr:relSizeAnchor xmlns:cdr="http://schemas.openxmlformats.org/drawingml/2006/chartDrawing">
    <cdr:from>
      <cdr:x>0.48341</cdr:x>
      <cdr:y>0.1813</cdr:y>
    </cdr:from>
    <cdr:to>
      <cdr:x>0.6744</cdr:x>
      <cdr:y>0.30543</cdr:y>
    </cdr:to>
    <cdr:sp macro="" textlink="'Forage COP'!$T$177">
      <cdr:nvSpPr>
        <cdr:cNvPr id="5" name="TextBox 4">
          <a:extLst xmlns:a="http://schemas.openxmlformats.org/drawingml/2006/main">
            <a:ext uri="{FF2B5EF4-FFF2-40B4-BE49-F238E27FC236}">
              <a16:creationId xmlns:a16="http://schemas.microsoft.com/office/drawing/2014/main" id="{9173699B-5376-4575-820C-F29CA447A924}"/>
            </a:ext>
          </a:extLst>
        </cdr:cNvPr>
        <cdr:cNvSpPr txBox="1"/>
      </cdr:nvSpPr>
      <cdr:spPr>
        <a:xfrm xmlns:a="http://schemas.openxmlformats.org/drawingml/2006/main">
          <a:off x="1699917" y="457786"/>
          <a:ext cx="671609" cy="31344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fld id="{D6942513-45BB-4FF3-B177-B8087C1EB3D2}" type="TxLink">
            <a:rPr lang="en-US" sz="1100" b="1" i="0" u="none" strike="noStrike">
              <a:solidFill>
                <a:srgbClr val="000000"/>
              </a:solidFill>
              <a:latin typeface="Aptos Narrow"/>
            </a:rPr>
            <a:pPr algn="l"/>
            <a:t>$196.65</a:t>
          </a:fld>
          <a:endParaRPr lang="en-CA"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0B36E-9600-442F-B417-C93933102161}">
  <dimension ref="A4:AD205"/>
  <sheetViews>
    <sheetView tabSelected="1" topLeftCell="A165" zoomScale="70" zoomScaleNormal="70" zoomScaleSheetLayoutView="85" workbookViewId="0">
      <selection activeCell="F151" sqref="F151"/>
    </sheetView>
  </sheetViews>
  <sheetFormatPr defaultRowHeight="14.45"/>
  <cols>
    <col min="1" max="1" width="1.42578125" customWidth="1"/>
    <col min="2" max="3" width="2.140625" customWidth="1"/>
    <col min="4" max="4" width="51.85546875" customWidth="1"/>
    <col min="5" max="5" width="18.5703125" customWidth="1"/>
    <col min="6" max="6" width="8.140625" customWidth="1"/>
    <col min="7" max="7" width="1.5703125" customWidth="1"/>
    <col min="8" max="8" width="19" customWidth="1"/>
    <col min="9" max="9" width="7.85546875" customWidth="1"/>
    <col min="10" max="10" width="1.5703125" customWidth="1"/>
    <col min="11" max="11" width="19" customWidth="1"/>
    <col min="12" max="12" width="7.5703125" customWidth="1"/>
    <col min="13" max="13" width="1.140625" customWidth="1"/>
    <col min="14" max="14" width="19" customWidth="1"/>
    <col min="15" max="15" width="7.85546875" customWidth="1"/>
    <col min="16" max="16" width="1.140625" customWidth="1"/>
    <col min="17" max="17" width="18.7109375" customWidth="1"/>
    <col min="18" max="18" width="7.5703125" customWidth="1"/>
    <col min="19" max="19" width="1.140625" customWidth="1"/>
    <col min="20" max="20" width="10.85546875" customWidth="1"/>
    <col min="21" max="21" width="10.28515625" customWidth="1"/>
    <col min="22" max="22" width="8.5703125" customWidth="1"/>
    <col min="23" max="23" width="10.5703125" customWidth="1"/>
    <col min="25" max="27" width="11.42578125" bestFit="1" customWidth="1"/>
    <col min="29" max="29" width="11.85546875" bestFit="1" customWidth="1"/>
    <col min="30" max="30" width="11.42578125" customWidth="1"/>
  </cols>
  <sheetData>
    <row r="4" spans="1:23" ht="23.45">
      <c r="E4" s="21" t="s">
        <v>0</v>
      </c>
    </row>
    <row r="7" spans="1:23" ht="18.600000000000001">
      <c r="A7" s="4"/>
      <c r="B7" s="4"/>
      <c r="D7" s="75" t="s">
        <v>1</v>
      </c>
    </row>
    <row r="8" spans="1:23" ht="18.600000000000001" customHeight="1">
      <c r="A8" s="4"/>
      <c r="B8" s="4"/>
      <c r="D8" s="75" t="s">
        <v>2</v>
      </c>
      <c r="E8" s="22"/>
      <c r="F8" s="22"/>
      <c r="G8" s="22"/>
      <c r="H8" s="22"/>
      <c r="I8" s="22"/>
      <c r="J8" s="22"/>
      <c r="K8" s="22"/>
      <c r="L8" s="22"/>
      <c r="N8" s="22"/>
      <c r="O8" s="22"/>
      <c r="Q8" s="22"/>
      <c r="R8" s="22"/>
    </row>
    <row r="9" spans="1:23" ht="18.600000000000001" customHeight="1">
      <c r="A9" s="4"/>
      <c r="B9" s="4"/>
      <c r="D9" s="75" t="s">
        <v>3</v>
      </c>
      <c r="E9" s="22"/>
      <c r="F9" s="22"/>
      <c r="G9" s="22"/>
      <c r="H9" s="22"/>
      <c r="I9" s="22"/>
      <c r="J9" s="22"/>
      <c r="K9" s="22"/>
      <c r="L9" s="22"/>
      <c r="N9" s="22"/>
      <c r="O9" s="22"/>
      <c r="Q9" s="22"/>
      <c r="R9" s="22"/>
    </row>
    <row r="10" spans="1:23" ht="18.600000000000001" customHeight="1">
      <c r="A10" s="4"/>
      <c r="B10" s="4"/>
      <c r="D10" s="75" t="s">
        <v>4</v>
      </c>
      <c r="E10" s="22"/>
      <c r="F10" s="22"/>
      <c r="G10" s="22"/>
      <c r="H10" s="22"/>
      <c r="I10" s="22"/>
      <c r="J10" s="22"/>
      <c r="K10" s="22"/>
      <c r="L10" s="22"/>
      <c r="N10" s="22"/>
      <c r="O10" s="22"/>
      <c r="Q10" s="22"/>
      <c r="R10" s="22"/>
    </row>
    <row r="11" spans="1:23" ht="18.600000000000001">
      <c r="A11" s="4"/>
      <c r="B11" s="4"/>
      <c r="D11" s="75" t="s">
        <v>5</v>
      </c>
    </row>
    <row r="12" spans="1:23" ht="6.95" customHeight="1"/>
    <row r="13" spans="1:23" ht="18.600000000000001">
      <c r="B13" s="34" t="s">
        <v>6</v>
      </c>
      <c r="C13" s="34"/>
      <c r="D13" s="35"/>
      <c r="E13" s="35"/>
      <c r="F13" s="35"/>
      <c r="G13" s="35"/>
      <c r="H13" s="35"/>
      <c r="I13" s="35"/>
      <c r="J13" s="35"/>
      <c r="K13" s="35"/>
      <c r="L13" s="35"/>
      <c r="M13" s="35"/>
      <c r="N13" s="35"/>
      <c r="O13" s="35"/>
      <c r="P13" s="35"/>
      <c r="Q13" s="35"/>
      <c r="R13" s="35"/>
      <c r="S13" s="35"/>
      <c r="T13" s="35"/>
      <c r="U13" s="35"/>
    </row>
    <row r="14" spans="1:23" ht="6" customHeight="1"/>
    <row r="15" spans="1:23">
      <c r="E15" s="39" t="s">
        <v>7</v>
      </c>
      <c r="F15" s="39"/>
      <c r="G15" s="39"/>
      <c r="H15" s="39" t="s">
        <v>8</v>
      </c>
      <c r="I15" s="39"/>
      <c r="J15" s="39"/>
      <c r="K15" s="39" t="s">
        <v>9</v>
      </c>
      <c r="L15" s="3"/>
      <c r="N15" s="39" t="s">
        <v>10</v>
      </c>
      <c r="O15" s="3"/>
      <c r="Q15" s="39" t="s">
        <v>11</v>
      </c>
      <c r="R15" s="3"/>
    </row>
    <row r="16" spans="1:23">
      <c r="D16" t="s">
        <v>12</v>
      </c>
      <c r="E16" s="40" t="s">
        <v>13</v>
      </c>
      <c r="F16" s="41"/>
      <c r="G16" s="41"/>
      <c r="H16" s="40" t="s">
        <v>14</v>
      </c>
      <c r="I16" s="41"/>
      <c r="J16" s="41"/>
      <c r="K16" s="40" t="s">
        <v>15</v>
      </c>
      <c r="N16" s="40"/>
      <c r="Q16" s="40"/>
      <c r="W16" s="71" t="s">
        <v>16</v>
      </c>
    </row>
    <row r="17" spans="2:26">
      <c r="B17" s="45" t="s">
        <v>17</v>
      </c>
      <c r="C17" s="45" t="s">
        <v>18</v>
      </c>
      <c r="D17" t="s">
        <v>19</v>
      </c>
      <c r="E17" s="40" t="s">
        <v>18</v>
      </c>
      <c r="F17" s="48">
        <f>IF(E17="Annual",0,1)</f>
        <v>1</v>
      </c>
      <c r="G17" s="41"/>
      <c r="H17" s="40" t="s">
        <v>18</v>
      </c>
      <c r="I17" s="48">
        <f>IF(H17="Annual",0,1)</f>
        <v>1</v>
      </c>
      <c r="J17" s="41"/>
      <c r="K17" s="40" t="s">
        <v>18</v>
      </c>
      <c r="L17" s="48">
        <f>IF(K17="Annual",0,1)</f>
        <v>1</v>
      </c>
      <c r="N17" s="40" t="s">
        <v>17</v>
      </c>
      <c r="O17" s="48">
        <f>IF(N17="Annual",0,1)</f>
        <v>0</v>
      </c>
      <c r="Q17" s="40" t="s">
        <v>17</v>
      </c>
      <c r="R17" s="48">
        <f>IF(Q17="Annual",0,1)</f>
        <v>0</v>
      </c>
      <c r="W17" s="71" t="s">
        <v>20</v>
      </c>
    </row>
    <row r="18" spans="2:26">
      <c r="C18" s="15" t="s">
        <v>21</v>
      </c>
      <c r="D18" s="2"/>
      <c r="E18" s="42" t="str">
        <f>E15</f>
        <v>Field #1</v>
      </c>
      <c r="F18" s="2"/>
      <c r="H18" s="42" t="str">
        <f>H15</f>
        <v>Field #2</v>
      </c>
      <c r="I18" s="2"/>
      <c r="K18" s="42" t="str">
        <f>K15</f>
        <v>Field #3</v>
      </c>
      <c r="L18" s="2"/>
      <c r="N18" s="42" t="str">
        <f>N15</f>
        <v>Field #4</v>
      </c>
      <c r="O18" s="2"/>
      <c r="Q18" s="42" t="str">
        <f>Q15</f>
        <v>Field #5</v>
      </c>
      <c r="R18" s="2"/>
      <c r="T18" s="88" t="s">
        <v>22</v>
      </c>
      <c r="U18" s="88"/>
      <c r="W18" s="71" t="s">
        <v>23</v>
      </c>
    </row>
    <row r="19" spans="2:26">
      <c r="D19" s="13" t="s">
        <v>24</v>
      </c>
      <c r="E19" s="1">
        <v>0</v>
      </c>
      <c r="F19" t="s">
        <v>25</v>
      </c>
      <c r="H19" s="1">
        <v>0</v>
      </c>
      <c r="I19" t="s">
        <v>25</v>
      </c>
      <c r="K19" s="1">
        <v>50</v>
      </c>
      <c r="L19" t="s">
        <v>25</v>
      </c>
      <c r="N19" s="1"/>
      <c r="O19" t="s">
        <v>25</v>
      </c>
      <c r="Q19" s="1"/>
      <c r="R19" t="s">
        <v>25</v>
      </c>
      <c r="T19" s="10">
        <f>SUM(E19,H19,K19,N19,Q19)</f>
        <v>50</v>
      </c>
      <c r="U19" t="s">
        <v>26</v>
      </c>
    </row>
    <row r="20" spans="2:26" ht="16.5">
      <c r="D20" s="13" t="s">
        <v>27</v>
      </c>
      <c r="E20" s="6">
        <v>0</v>
      </c>
      <c r="F20" t="s">
        <v>28</v>
      </c>
      <c r="H20" s="6">
        <v>0</v>
      </c>
      <c r="I20" t="s">
        <v>28</v>
      </c>
      <c r="K20" s="6">
        <v>80</v>
      </c>
      <c r="L20" t="s">
        <v>28</v>
      </c>
      <c r="N20" s="6"/>
      <c r="O20" t="s">
        <v>28</v>
      </c>
      <c r="Q20" s="6"/>
      <c r="R20" t="s">
        <v>28</v>
      </c>
    </row>
    <row r="21" spans="2:26" ht="6" customHeight="1"/>
    <row r="22" spans="2:26">
      <c r="D22" t="s">
        <v>29</v>
      </c>
      <c r="E22" s="1">
        <v>50</v>
      </c>
      <c r="F22" t="s">
        <v>25</v>
      </c>
      <c r="H22" s="1">
        <v>100</v>
      </c>
      <c r="I22" t="s">
        <v>25</v>
      </c>
      <c r="K22" s="1"/>
      <c r="L22" t="s">
        <v>25</v>
      </c>
      <c r="N22" s="1"/>
      <c r="O22" t="s">
        <v>25</v>
      </c>
      <c r="Q22" s="1"/>
      <c r="R22" t="s">
        <v>25</v>
      </c>
      <c r="T22" s="10">
        <f>SUM(E22,H22,K22,N22,Q22)</f>
        <v>150</v>
      </c>
      <c r="U22" t="s">
        <v>26</v>
      </c>
    </row>
    <row r="23" spans="2:26">
      <c r="D23" t="s">
        <v>30</v>
      </c>
      <c r="E23" s="6">
        <v>80</v>
      </c>
      <c r="F23" t="s">
        <v>28</v>
      </c>
      <c r="H23" s="6">
        <v>75</v>
      </c>
      <c r="I23" t="s">
        <v>28</v>
      </c>
      <c r="K23" s="6"/>
      <c r="L23" t="s">
        <v>28</v>
      </c>
      <c r="N23" s="6"/>
      <c r="O23" t="s">
        <v>28</v>
      </c>
      <c r="Q23" s="6"/>
      <c r="R23" t="s">
        <v>28</v>
      </c>
    </row>
    <row r="24" spans="2:26" ht="7.5" customHeight="1"/>
    <row r="25" spans="2:26">
      <c r="C25" s="15" t="s">
        <v>31</v>
      </c>
      <c r="D25" s="2"/>
      <c r="E25" s="42" t="str">
        <f>E15</f>
        <v>Field #1</v>
      </c>
      <c r="F25" s="42"/>
      <c r="G25" s="39"/>
      <c r="H25" s="42" t="str">
        <f>H15</f>
        <v>Field #2</v>
      </c>
      <c r="I25" s="42"/>
      <c r="J25" s="39"/>
      <c r="K25" s="42" t="str">
        <f>K15</f>
        <v>Field #3</v>
      </c>
      <c r="L25" s="2"/>
      <c r="N25" s="42" t="str">
        <f>N15</f>
        <v>Field #4</v>
      </c>
      <c r="O25" s="2"/>
      <c r="Q25" s="42" t="str">
        <f>Q15</f>
        <v>Field #5</v>
      </c>
      <c r="R25" s="2"/>
      <c r="T25" s="88" t="s">
        <v>22</v>
      </c>
      <c r="U25" s="88"/>
      <c r="V25" s="3" t="s">
        <v>32</v>
      </c>
    </row>
    <row r="26" spans="2:26">
      <c r="D26" t="s">
        <v>33</v>
      </c>
      <c r="E26" s="38">
        <v>6</v>
      </c>
      <c r="F26" t="s">
        <v>34</v>
      </c>
      <c r="H26" s="38">
        <v>7</v>
      </c>
      <c r="I26" t="s">
        <v>34</v>
      </c>
      <c r="K26" s="38">
        <v>6</v>
      </c>
      <c r="L26" t="s">
        <v>34</v>
      </c>
      <c r="N26" s="38"/>
      <c r="O26" t="s">
        <v>34</v>
      </c>
      <c r="Q26" s="38"/>
      <c r="R26" t="s">
        <v>34</v>
      </c>
      <c r="V26" s="64">
        <v>1</v>
      </c>
      <c r="W26" s="65" t="s">
        <v>35</v>
      </c>
      <c r="X26" s="65" t="s">
        <v>36</v>
      </c>
      <c r="Y26" s="67">
        <f>V26*1.10231</f>
        <v>1.1023099999999999</v>
      </c>
      <c r="Z26" s="66" t="s">
        <v>37</v>
      </c>
    </row>
    <row r="27" spans="2:26">
      <c r="D27" t="s">
        <v>38</v>
      </c>
      <c r="E27" s="1">
        <v>2</v>
      </c>
      <c r="F27" t="s">
        <v>39</v>
      </c>
      <c r="H27" s="1">
        <v>1.8</v>
      </c>
      <c r="I27" t="s">
        <v>39</v>
      </c>
      <c r="K27" s="1">
        <v>3.5</v>
      </c>
      <c r="L27" t="s">
        <v>39</v>
      </c>
      <c r="N27" s="1"/>
      <c r="O27" t="s">
        <v>39</v>
      </c>
      <c r="Q27" s="1"/>
      <c r="R27" t="s">
        <v>39</v>
      </c>
      <c r="V27" s="64">
        <v>1000</v>
      </c>
      <c r="W27" s="65" t="s">
        <v>40</v>
      </c>
      <c r="X27" s="65" t="s">
        <v>36</v>
      </c>
      <c r="Y27" s="67">
        <f>V27/1000*1.10231</f>
        <v>1.1023099999999999</v>
      </c>
      <c r="Z27" s="66" t="s">
        <v>37</v>
      </c>
    </row>
    <row r="28" spans="2:26">
      <c r="D28" t="s">
        <v>41</v>
      </c>
      <c r="E28" s="5">
        <v>0.89</v>
      </c>
      <c r="F28" t="s">
        <v>42</v>
      </c>
      <c r="H28" s="5">
        <v>0.89</v>
      </c>
      <c r="I28" t="s">
        <v>42</v>
      </c>
      <c r="K28" s="5">
        <v>0.5</v>
      </c>
      <c r="L28" t="s">
        <v>42</v>
      </c>
      <c r="N28" s="5"/>
      <c r="O28" t="s">
        <v>42</v>
      </c>
      <c r="Q28" s="5"/>
      <c r="R28" t="s">
        <v>42</v>
      </c>
      <c r="V28" s="61">
        <v>2000</v>
      </c>
      <c r="W28" s="62" t="s">
        <v>43</v>
      </c>
      <c r="X28" s="62" t="s">
        <v>36</v>
      </c>
      <c r="Y28" s="68">
        <f>V28/2000</f>
        <v>1</v>
      </c>
      <c r="Z28" s="63" t="s">
        <v>37</v>
      </c>
    </row>
    <row r="29" spans="2:26" ht="6" customHeight="1">
      <c r="E29" s="14"/>
      <c r="H29" s="14"/>
      <c r="K29" s="14"/>
      <c r="N29" s="14"/>
      <c r="Q29" s="14"/>
    </row>
    <row r="30" spans="2:26">
      <c r="D30" t="s">
        <v>44</v>
      </c>
      <c r="E30" s="10">
        <f>SUM(E19,E22)*E27</f>
        <v>100</v>
      </c>
      <c r="F30" t="s">
        <v>45</v>
      </c>
      <c r="H30" s="10">
        <f>SUM(H19,H22)*H27</f>
        <v>180</v>
      </c>
      <c r="I30" t="s">
        <v>45</v>
      </c>
      <c r="K30" s="10">
        <f>SUM(K19,K22)*K27</f>
        <v>175</v>
      </c>
      <c r="L30" t="s">
        <v>45</v>
      </c>
      <c r="N30" s="10">
        <f>SUM(N19,N22)*N27</f>
        <v>0</v>
      </c>
      <c r="O30" t="s">
        <v>45</v>
      </c>
      <c r="Q30" s="10">
        <f>SUM(Q19,Q22)*Q27</f>
        <v>0</v>
      </c>
      <c r="R30" t="s">
        <v>45</v>
      </c>
      <c r="T30" s="10">
        <f>SUM(E30,H30,K30,N30,Q30)</f>
        <v>455</v>
      </c>
      <c r="U30" t="s">
        <v>45</v>
      </c>
    </row>
    <row r="31" spans="2:26">
      <c r="D31" t="s">
        <v>46</v>
      </c>
      <c r="E31" s="10">
        <f>E30*E28</f>
        <v>89</v>
      </c>
      <c r="F31" t="s">
        <v>45</v>
      </c>
      <c r="H31" s="18">
        <f>H30*H28</f>
        <v>160.19999999999999</v>
      </c>
      <c r="I31" t="s">
        <v>45</v>
      </c>
      <c r="K31" s="10">
        <f>K30*K28</f>
        <v>87.5</v>
      </c>
      <c r="L31" t="s">
        <v>45</v>
      </c>
      <c r="N31" s="10">
        <f>N30*N28</f>
        <v>0</v>
      </c>
      <c r="O31" t="s">
        <v>45</v>
      </c>
      <c r="Q31" s="10">
        <f>Q30*Q28</f>
        <v>0</v>
      </c>
      <c r="R31" t="s">
        <v>45</v>
      </c>
      <c r="T31" s="18">
        <f>SUM(E31,H31,K31,N31,Q31)</f>
        <v>336.7</v>
      </c>
      <c r="U31" s="50" t="s">
        <v>45</v>
      </c>
    </row>
    <row r="32" spans="2:26" ht="6.95" customHeight="1"/>
    <row r="33" spans="3:23" ht="57.95" customHeight="1">
      <c r="C33" s="83" t="s">
        <v>47</v>
      </c>
      <c r="D33" s="83"/>
      <c r="E33" s="43" t="str">
        <f>E15</f>
        <v>Field #1</v>
      </c>
      <c r="F33" s="43"/>
      <c r="G33" s="39"/>
      <c r="H33" s="43" t="str">
        <f>H15</f>
        <v>Field #2</v>
      </c>
      <c r="I33" s="43"/>
      <c r="J33" s="39"/>
      <c r="K33" s="43" t="str">
        <f>K15</f>
        <v>Field #3</v>
      </c>
      <c r="L33" s="17"/>
      <c r="N33" s="43" t="str">
        <f>N15</f>
        <v>Field #4</v>
      </c>
      <c r="O33" s="17"/>
      <c r="Q33" s="43" t="str">
        <f>Q15</f>
        <v>Field #5</v>
      </c>
      <c r="R33" s="17"/>
      <c r="T33" s="9"/>
    </row>
    <row r="34" spans="3:23">
      <c r="D34" t="s">
        <v>48</v>
      </c>
      <c r="E34" s="6">
        <v>50</v>
      </c>
      <c r="F34" t="s">
        <v>28</v>
      </c>
      <c r="H34" s="6">
        <v>36</v>
      </c>
      <c r="I34" t="s">
        <v>28</v>
      </c>
      <c r="K34" s="6">
        <v>40</v>
      </c>
      <c r="L34" t="s">
        <v>28</v>
      </c>
      <c r="N34" s="6"/>
      <c r="O34" t="s">
        <v>28</v>
      </c>
      <c r="Q34" s="6"/>
      <c r="R34" t="s">
        <v>28</v>
      </c>
    </row>
    <row r="35" spans="3:23">
      <c r="D35" t="s">
        <v>49</v>
      </c>
      <c r="E35" s="6">
        <v>0</v>
      </c>
      <c r="F35" t="s">
        <v>28</v>
      </c>
      <c r="H35" s="6">
        <v>0</v>
      </c>
      <c r="I35" t="s">
        <v>28</v>
      </c>
      <c r="K35" s="6">
        <v>0</v>
      </c>
      <c r="L35" t="s">
        <v>28</v>
      </c>
      <c r="N35" s="6"/>
      <c r="O35" t="s">
        <v>28</v>
      </c>
      <c r="Q35" s="6"/>
      <c r="R35" t="s">
        <v>28</v>
      </c>
    </row>
    <row r="36" spans="3:23">
      <c r="D36" t="s">
        <v>50</v>
      </c>
      <c r="E36" s="6">
        <v>90</v>
      </c>
      <c r="F36" t="s">
        <v>28</v>
      </c>
      <c r="H36" s="6">
        <v>75</v>
      </c>
      <c r="I36" t="s">
        <v>28</v>
      </c>
      <c r="K36" s="6">
        <v>75</v>
      </c>
      <c r="L36" t="s">
        <v>28</v>
      </c>
      <c r="N36" s="6"/>
      <c r="O36" t="s">
        <v>28</v>
      </c>
      <c r="Q36" s="6"/>
      <c r="R36" t="s">
        <v>28</v>
      </c>
    </row>
    <row r="37" spans="3:23">
      <c r="D37" t="s">
        <v>51</v>
      </c>
      <c r="E37" s="6">
        <v>20</v>
      </c>
      <c r="F37" t="s">
        <v>28</v>
      </c>
      <c r="H37" s="6">
        <v>20</v>
      </c>
      <c r="I37" t="s">
        <v>28</v>
      </c>
      <c r="K37" s="6">
        <v>20</v>
      </c>
      <c r="L37" t="s">
        <v>28</v>
      </c>
      <c r="N37" s="6"/>
      <c r="O37" t="s">
        <v>28</v>
      </c>
      <c r="Q37" s="6"/>
      <c r="R37" t="s">
        <v>28</v>
      </c>
    </row>
    <row r="38" spans="3:23">
      <c r="D38" t="s">
        <v>52</v>
      </c>
      <c r="E38" s="6">
        <v>22</v>
      </c>
      <c r="F38" t="s">
        <v>28</v>
      </c>
      <c r="H38" s="6">
        <v>22</v>
      </c>
      <c r="I38" t="s">
        <v>28</v>
      </c>
      <c r="K38" s="6">
        <v>22</v>
      </c>
      <c r="L38" t="s">
        <v>28</v>
      </c>
      <c r="N38" s="6"/>
      <c r="O38" t="s">
        <v>28</v>
      </c>
      <c r="Q38" s="6"/>
      <c r="R38" t="s">
        <v>28</v>
      </c>
    </row>
    <row r="39" spans="3:23">
      <c r="D39" t="s">
        <v>53</v>
      </c>
      <c r="E39" s="6">
        <v>14</v>
      </c>
      <c r="F39" t="s">
        <v>28</v>
      </c>
      <c r="H39" s="6">
        <v>14</v>
      </c>
      <c r="I39" t="s">
        <v>28</v>
      </c>
      <c r="K39" s="6">
        <v>21</v>
      </c>
      <c r="L39" t="s">
        <v>28</v>
      </c>
      <c r="N39" s="6"/>
      <c r="O39" t="s">
        <v>28</v>
      </c>
      <c r="Q39" s="6"/>
      <c r="R39" t="s">
        <v>28</v>
      </c>
    </row>
    <row r="40" spans="3:23">
      <c r="D40" t="s">
        <v>54</v>
      </c>
      <c r="E40" s="6">
        <v>0</v>
      </c>
      <c r="F40" t="s">
        <v>28</v>
      </c>
      <c r="H40" s="6">
        <v>0</v>
      </c>
      <c r="I40" t="s">
        <v>28</v>
      </c>
      <c r="K40" s="6">
        <v>0</v>
      </c>
      <c r="L40" t="s">
        <v>28</v>
      </c>
      <c r="N40" s="6"/>
      <c r="O40" t="s">
        <v>28</v>
      </c>
      <c r="Q40" s="6"/>
      <c r="R40" t="s">
        <v>28</v>
      </c>
    </row>
    <row r="41" spans="3:23">
      <c r="D41" t="s">
        <v>55</v>
      </c>
      <c r="E41" s="6">
        <v>5</v>
      </c>
      <c r="F41" t="s">
        <v>28</v>
      </c>
      <c r="H41" s="6">
        <v>4</v>
      </c>
      <c r="I41" t="s">
        <v>28</v>
      </c>
      <c r="K41" s="6">
        <v>17</v>
      </c>
      <c r="L41" t="s">
        <v>28</v>
      </c>
      <c r="N41" s="6"/>
      <c r="O41" t="s">
        <v>28</v>
      </c>
      <c r="Q41" s="6"/>
      <c r="R41" t="s">
        <v>28</v>
      </c>
    </row>
    <row r="42" spans="3:23">
      <c r="D42" t="s">
        <v>56</v>
      </c>
      <c r="E42" s="6">
        <v>0</v>
      </c>
      <c r="F42" t="s">
        <v>28</v>
      </c>
      <c r="H42" s="6">
        <v>0</v>
      </c>
      <c r="I42" t="s">
        <v>28</v>
      </c>
      <c r="K42" s="6">
        <v>0</v>
      </c>
      <c r="L42" t="s">
        <v>28</v>
      </c>
      <c r="N42" s="6"/>
      <c r="O42" t="s">
        <v>28</v>
      </c>
      <c r="Q42" s="6"/>
      <c r="R42" t="s">
        <v>28</v>
      </c>
    </row>
    <row r="43" spans="3:23">
      <c r="D43" s="3" t="s">
        <v>57</v>
      </c>
      <c r="E43" s="23">
        <f>SUM(E34:E42)</f>
        <v>201</v>
      </c>
      <c r="F43" t="s">
        <v>28</v>
      </c>
      <c r="H43" s="23">
        <f>SUM(H34:H42)</f>
        <v>171</v>
      </c>
      <c r="I43" t="s">
        <v>28</v>
      </c>
      <c r="K43" s="23">
        <f>SUM(K34:K42)</f>
        <v>195</v>
      </c>
      <c r="L43" t="s">
        <v>28</v>
      </c>
      <c r="N43" s="23">
        <f>SUM(N34:N42)</f>
        <v>0</v>
      </c>
      <c r="O43" t="s">
        <v>28</v>
      </c>
      <c r="Q43" s="23">
        <f>SUM(Q34:Q42)</f>
        <v>0</v>
      </c>
      <c r="R43" t="s">
        <v>28</v>
      </c>
    </row>
    <row r="44" spans="3:23" ht="6" customHeight="1">
      <c r="H44" s="9"/>
      <c r="K44" s="9"/>
      <c r="N44" s="9"/>
      <c r="Q44" s="9"/>
    </row>
    <row r="45" spans="3:23" ht="46.5" customHeight="1">
      <c r="C45" s="83" t="s">
        <v>58</v>
      </c>
      <c r="D45" s="84"/>
      <c r="E45" s="43" t="str">
        <f>E33</f>
        <v>Field #1</v>
      </c>
      <c r="F45" s="43"/>
      <c r="G45" s="39"/>
      <c r="H45" s="44" t="str">
        <f>H33</f>
        <v>Field #2</v>
      </c>
      <c r="I45" s="43"/>
      <c r="J45" s="39"/>
      <c r="K45" s="44" t="str">
        <f>K33</f>
        <v>Field #3</v>
      </c>
      <c r="L45" s="17"/>
      <c r="N45" s="44" t="str">
        <f>N33</f>
        <v>Field #4</v>
      </c>
      <c r="O45" s="17"/>
      <c r="Q45" s="44" t="str">
        <f>Q33</f>
        <v>Field #5</v>
      </c>
      <c r="R45" s="17"/>
    </row>
    <row r="46" spans="3:23">
      <c r="D46" t="s">
        <v>50</v>
      </c>
      <c r="E46" s="6">
        <v>0</v>
      </c>
      <c r="F46" t="s">
        <v>28</v>
      </c>
      <c r="H46" s="6">
        <v>0</v>
      </c>
      <c r="I46" t="s">
        <v>28</v>
      </c>
      <c r="K46" s="6">
        <v>0</v>
      </c>
      <c r="L46" t="s">
        <v>28</v>
      </c>
      <c r="N46" s="6"/>
      <c r="O46" t="s">
        <v>28</v>
      </c>
      <c r="Q46" s="6">
        <v>0</v>
      </c>
      <c r="R46" t="s">
        <v>28</v>
      </c>
      <c r="W46" s="71" t="s">
        <v>59</v>
      </c>
    </row>
    <row r="47" spans="3:23">
      <c r="D47" t="s">
        <v>51</v>
      </c>
      <c r="E47" s="6">
        <v>0</v>
      </c>
      <c r="F47" t="s">
        <v>28</v>
      </c>
      <c r="H47" s="6">
        <v>0</v>
      </c>
      <c r="I47" t="s">
        <v>28</v>
      </c>
      <c r="K47" s="6">
        <v>0</v>
      </c>
      <c r="L47" t="s">
        <v>28</v>
      </c>
      <c r="N47" s="6"/>
      <c r="O47" t="s">
        <v>28</v>
      </c>
      <c r="Q47" s="6">
        <v>0</v>
      </c>
      <c r="R47" t="s">
        <v>28</v>
      </c>
    </row>
    <row r="48" spans="3:23">
      <c r="D48" t="s">
        <v>52</v>
      </c>
      <c r="E48" s="6">
        <v>20</v>
      </c>
      <c r="F48" t="s">
        <v>28</v>
      </c>
      <c r="H48" s="6">
        <v>20</v>
      </c>
      <c r="I48" t="s">
        <v>28</v>
      </c>
      <c r="K48" s="6">
        <v>20</v>
      </c>
      <c r="L48" t="s">
        <v>28</v>
      </c>
      <c r="N48" s="6"/>
      <c r="O48" t="s">
        <v>28</v>
      </c>
      <c r="Q48" s="6">
        <v>0</v>
      </c>
      <c r="R48" t="s">
        <v>28</v>
      </c>
    </row>
    <row r="49" spans="2:18">
      <c r="D49" t="s">
        <v>53</v>
      </c>
      <c r="E49" s="6">
        <v>11</v>
      </c>
      <c r="F49" t="s">
        <v>28</v>
      </c>
      <c r="H49" s="6">
        <v>10</v>
      </c>
      <c r="I49" t="s">
        <v>28</v>
      </c>
      <c r="K49" s="6">
        <v>21</v>
      </c>
      <c r="L49" t="s">
        <v>28</v>
      </c>
      <c r="N49" s="6"/>
      <c r="O49" t="s">
        <v>28</v>
      </c>
      <c r="Q49" s="6">
        <v>0</v>
      </c>
      <c r="R49" t="s">
        <v>28</v>
      </c>
    </row>
    <row r="50" spans="2:18">
      <c r="D50" t="s">
        <v>54</v>
      </c>
      <c r="E50" s="6">
        <v>0</v>
      </c>
      <c r="F50" t="s">
        <v>28</v>
      </c>
      <c r="H50" s="6">
        <v>0</v>
      </c>
      <c r="I50" t="s">
        <v>28</v>
      </c>
      <c r="K50" s="6">
        <v>0</v>
      </c>
      <c r="L50" t="s">
        <v>28</v>
      </c>
      <c r="N50" s="6"/>
      <c r="O50" t="s">
        <v>28</v>
      </c>
      <c r="Q50" s="6">
        <v>0</v>
      </c>
      <c r="R50" t="s">
        <v>28</v>
      </c>
    </row>
    <row r="51" spans="2:18">
      <c r="D51" t="s">
        <v>55</v>
      </c>
      <c r="E51" s="6">
        <v>5</v>
      </c>
      <c r="F51" t="s">
        <v>28</v>
      </c>
      <c r="H51" s="6">
        <v>4</v>
      </c>
      <c r="I51" t="s">
        <v>28</v>
      </c>
      <c r="K51" s="6">
        <v>17</v>
      </c>
      <c r="L51" t="s">
        <v>28</v>
      </c>
      <c r="N51" s="6"/>
      <c r="O51" t="s">
        <v>28</v>
      </c>
      <c r="Q51" s="6">
        <v>0</v>
      </c>
      <c r="R51" t="s">
        <v>28</v>
      </c>
    </row>
    <row r="52" spans="2:18">
      <c r="D52" t="s">
        <v>56</v>
      </c>
      <c r="E52" s="6">
        <v>0</v>
      </c>
      <c r="F52" t="s">
        <v>28</v>
      </c>
      <c r="H52" s="6">
        <v>0</v>
      </c>
      <c r="I52" t="s">
        <v>28</v>
      </c>
      <c r="K52" s="6">
        <v>0</v>
      </c>
      <c r="L52" t="s">
        <v>28</v>
      </c>
      <c r="N52" s="6"/>
      <c r="O52" t="s">
        <v>28</v>
      </c>
      <c r="Q52" s="6">
        <v>0</v>
      </c>
      <c r="R52" t="s">
        <v>28</v>
      </c>
    </row>
    <row r="53" spans="2:18">
      <c r="D53" s="3" t="s">
        <v>60</v>
      </c>
      <c r="E53" s="23">
        <f>SUM(E46:E52)</f>
        <v>36</v>
      </c>
      <c r="F53" t="s">
        <v>28</v>
      </c>
      <c r="H53" s="23">
        <f>SUM(H46:H52)</f>
        <v>34</v>
      </c>
      <c r="I53" t="s">
        <v>28</v>
      </c>
      <c r="K53" s="23">
        <f>SUM(K46:K52)</f>
        <v>58</v>
      </c>
      <c r="L53" t="s">
        <v>28</v>
      </c>
      <c r="N53" s="23">
        <f>SUM(N46:N52)</f>
        <v>0</v>
      </c>
      <c r="O53" t="s">
        <v>28</v>
      </c>
      <c r="Q53" s="23">
        <f>SUM(Q46:Q52)</f>
        <v>0</v>
      </c>
      <c r="R53" t="s">
        <v>28</v>
      </c>
    </row>
    <row r="54" spans="2:18" ht="6.95" customHeight="1"/>
    <row r="55" spans="2:18" ht="18.600000000000001">
      <c r="B55" s="34" t="s">
        <v>61</v>
      </c>
      <c r="C55" s="34"/>
      <c r="D55" s="35"/>
      <c r="E55" s="35"/>
      <c r="F55" s="35"/>
      <c r="G55" s="35"/>
      <c r="H55" s="35"/>
      <c r="I55" s="35"/>
      <c r="J55" s="35"/>
      <c r="K55" s="35"/>
      <c r="L55" s="35"/>
      <c r="M55" s="35"/>
      <c r="N55" s="35"/>
      <c r="O55" s="35"/>
      <c r="P55" s="35"/>
      <c r="Q55" s="35"/>
      <c r="R55" s="35"/>
    </row>
    <row r="56" spans="2:18" ht="18.600000000000001">
      <c r="C56" s="4"/>
      <c r="D56" s="3" t="s">
        <v>62</v>
      </c>
      <c r="E56" s="24">
        <v>0.25</v>
      </c>
      <c r="F56" s="3" t="s">
        <v>42</v>
      </c>
    </row>
    <row r="57" spans="2:18">
      <c r="C57" s="16" t="s">
        <v>63</v>
      </c>
      <c r="D57" s="17"/>
      <c r="E57" s="17"/>
      <c r="F57" s="17"/>
    </row>
    <row r="58" spans="2:18">
      <c r="D58" t="s">
        <v>64</v>
      </c>
      <c r="E58" s="6">
        <v>5000</v>
      </c>
      <c r="F58" t="s">
        <v>65</v>
      </c>
    </row>
    <row r="59" spans="2:18">
      <c r="D59" t="s">
        <v>66</v>
      </c>
      <c r="E59" s="6">
        <v>10000</v>
      </c>
      <c r="F59" t="s">
        <v>65</v>
      </c>
    </row>
    <row r="60" spans="2:18">
      <c r="D60" t="s">
        <v>67</v>
      </c>
      <c r="E60" s="6">
        <v>3000</v>
      </c>
      <c r="F60" t="s">
        <v>65</v>
      </c>
    </row>
    <row r="61" spans="2:18">
      <c r="D61" t="s">
        <v>68</v>
      </c>
      <c r="E61" s="6">
        <v>13000</v>
      </c>
      <c r="F61" t="s">
        <v>65</v>
      </c>
    </row>
    <row r="62" spans="2:18">
      <c r="D62" t="s">
        <v>69</v>
      </c>
      <c r="E62" s="6">
        <v>500</v>
      </c>
      <c r="F62" t="s">
        <v>65</v>
      </c>
    </row>
    <row r="63" spans="2:18">
      <c r="D63" t="s">
        <v>70</v>
      </c>
      <c r="E63" s="6">
        <v>4000</v>
      </c>
      <c r="F63" t="s">
        <v>65</v>
      </c>
    </row>
    <row r="64" spans="2:18">
      <c r="D64" t="s">
        <v>71</v>
      </c>
      <c r="E64" s="6">
        <v>6000</v>
      </c>
      <c r="F64" t="s">
        <v>65</v>
      </c>
    </row>
    <row r="65" spans="3:18">
      <c r="D65" t="s">
        <v>72</v>
      </c>
      <c r="E65" s="6">
        <v>0</v>
      </c>
      <c r="F65" t="s">
        <v>65</v>
      </c>
    </row>
    <row r="66" spans="3:18">
      <c r="D66" t="s">
        <v>73</v>
      </c>
      <c r="E66" s="6">
        <v>0</v>
      </c>
      <c r="F66" t="s">
        <v>65</v>
      </c>
    </row>
    <row r="67" spans="3:18">
      <c r="D67" t="s">
        <v>74</v>
      </c>
      <c r="E67" s="6">
        <v>4000</v>
      </c>
      <c r="F67" t="s">
        <v>65</v>
      </c>
    </row>
    <row r="68" spans="3:18">
      <c r="D68" t="s">
        <v>75</v>
      </c>
      <c r="E68" s="6">
        <v>1500</v>
      </c>
      <c r="F68" t="s">
        <v>65</v>
      </c>
    </row>
    <row r="69" spans="3:18">
      <c r="D69" t="s">
        <v>76</v>
      </c>
      <c r="E69" s="6">
        <v>1300</v>
      </c>
      <c r="F69" t="s">
        <v>65</v>
      </c>
    </row>
    <row r="70" spans="3:18">
      <c r="D70" t="s">
        <v>77</v>
      </c>
      <c r="E70" s="6">
        <v>25000</v>
      </c>
      <c r="F70" t="s">
        <v>65</v>
      </c>
    </row>
    <row r="71" spans="3:18">
      <c r="D71" t="s">
        <v>78</v>
      </c>
      <c r="E71" s="6">
        <v>0</v>
      </c>
      <c r="F71" t="s">
        <v>65</v>
      </c>
    </row>
    <row r="72" spans="3:18">
      <c r="D72" t="s">
        <v>56</v>
      </c>
      <c r="E72" s="6">
        <v>100</v>
      </c>
      <c r="F72" t="s">
        <v>65</v>
      </c>
    </row>
    <row r="73" spans="3:18">
      <c r="D73" s="3" t="s">
        <v>79</v>
      </c>
      <c r="E73" s="23">
        <f>SUM(E58:E72)</f>
        <v>73400</v>
      </c>
      <c r="F73" t="s">
        <v>65</v>
      </c>
    </row>
    <row r="74" spans="3:18">
      <c r="D74" s="3" t="s">
        <v>80</v>
      </c>
      <c r="E74" s="23">
        <f>E73*E56</f>
        <v>18350</v>
      </c>
      <c r="F74" t="s">
        <v>65</v>
      </c>
      <c r="H74" s="9"/>
    </row>
    <row r="76" spans="3:18">
      <c r="C76" s="16" t="s">
        <v>81</v>
      </c>
      <c r="D76" s="16"/>
      <c r="E76" s="16"/>
      <c r="F76" s="16"/>
      <c r="G76" s="3"/>
      <c r="H76" s="3"/>
      <c r="I76" s="3"/>
      <c r="J76" s="3"/>
      <c r="K76" s="3"/>
      <c r="L76" s="3"/>
      <c r="N76" s="3"/>
      <c r="O76" s="3"/>
      <c r="Q76" s="3"/>
      <c r="R76" s="3"/>
    </row>
    <row r="77" spans="3:18" ht="5.45" customHeight="1"/>
    <row r="78" spans="3:18">
      <c r="D78" s="16" t="s">
        <v>82</v>
      </c>
      <c r="E78" s="17"/>
      <c r="F78" s="17"/>
    </row>
    <row r="79" spans="3:18">
      <c r="D79" t="s">
        <v>83</v>
      </c>
      <c r="E79" s="6">
        <v>180000</v>
      </c>
      <c r="F79" t="s">
        <v>84</v>
      </c>
    </row>
    <row r="80" spans="3:18">
      <c r="D80" t="s">
        <v>85</v>
      </c>
      <c r="E80" s="7">
        <v>0.4</v>
      </c>
      <c r="F80" t="s">
        <v>42</v>
      </c>
    </row>
    <row r="81" spans="4:17">
      <c r="D81" t="s">
        <v>86</v>
      </c>
      <c r="E81" s="73">
        <v>45000</v>
      </c>
      <c r="F81" t="s">
        <v>84</v>
      </c>
    </row>
    <row r="82" spans="4:17">
      <c r="D82" t="s">
        <v>87</v>
      </c>
      <c r="E82" s="38">
        <v>10</v>
      </c>
      <c r="F82" t="s">
        <v>34</v>
      </c>
    </row>
    <row r="83" spans="4:17">
      <c r="D83" t="s">
        <v>88</v>
      </c>
      <c r="E83" s="7">
        <v>0.55000000000000004</v>
      </c>
      <c r="F83" t="s">
        <v>42</v>
      </c>
    </row>
    <row r="84" spans="4:17" ht="27.95">
      <c r="D84" s="22" t="s">
        <v>89</v>
      </c>
      <c r="E84" s="8">
        <v>0.03</v>
      </c>
      <c r="F84" t="s">
        <v>42</v>
      </c>
    </row>
    <row r="85" spans="4:17" ht="5.45" customHeight="1"/>
    <row r="86" spans="4:17">
      <c r="D86" s="3" t="s">
        <v>90</v>
      </c>
      <c r="E86" s="23">
        <f>(E79-E81)*E80/E82</f>
        <v>5400</v>
      </c>
      <c r="F86" t="s">
        <v>65</v>
      </c>
      <c r="H86" s="9"/>
      <c r="K86" s="9"/>
      <c r="N86" s="9"/>
      <c r="Q86" s="9"/>
    </row>
    <row r="87" spans="4:17">
      <c r="D87" s="3" t="s">
        <v>91</v>
      </c>
      <c r="E87" s="23">
        <f>E79*E80*E83*E84</f>
        <v>1188</v>
      </c>
      <c r="F87" t="s">
        <v>65</v>
      </c>
      <c r="N87" s="9"/>
    </row>
    <row r="88" spans="4:17" ht="8.4499999999999993" customHeight="1">
      <c r="N88" s="69"/>
    </row>
    <row r="89" spans="4:17">
      <c r="D89" s="16" t="s">
        <v>92</v>
      </c>
      <c r="E89" s="17"/>
      <c r="F89" s="17"/>
    </row>
    <row r="90" spans="4:17">
      <c r="D90" t="s">
        <v>93</v>
      </c>
      <c r="E90" s="6">
        <v>200000</v>
      </c>
      <c r="F90" t="s">
        <v>84</v>
      </c>
    </row>
    <row r="91" spans="4:17">
      <c r="D91" t="s">
        <v>85</v>
      </c>
      <c r="E91" s="6">
        <v>0</v>
      </c>
      <c r="F91" t="s">
        <v>84</v>
      </c>
    </row>
    <row r="92" spans="4:17">
      <c r="D92" t="s">
        <v>94</v>
      </c>
      <c r="E92" s="7">
        <v>0.25</v>
      </c>
      <c r="F92" t="s">
        <v>42</v>
      </c>
    </row>
    <row r="93" spans="4:17">
      <c r="D93" t="s">
        <v>87</v>
      </c>
      <c r="E93" s="38">
        <v>25</v>
      </c>
      <c r="F93" t="s">
        <v>34</v>
      </c>
    </row>
    <row r="94" spans="4:17">
      <c r="D94" t="s">
        <v>95</v>
      </c>
      <c r="E94" s="7">
        <v>1</v>
      </c>
      <c r="F94" t="s">
        <v>42</v>
      </c>
    </row>
    <row r="95" spans="4:17" ht="27.95">
      <c r="D95" s="22" t="s">
        <v>96</v>
      </c>
      <c r="E95" s="8">
        <v>0.03</v>
      </c>
      <c r="F95" t="s">
        <v>42</v>
      </c>
    </row>
    <row r="96" spans="4:17" ht="6.95" customHeight="1"/>
    <row r="97" spans="3:30">
      <c r="D97" s="3" t="s">
        <v>97</v>
      </c>
      <c r="E97" s="23">
        <f>(E90-E92)*E91/E93</f>
        <v>0</v>
      </c>
      <c r="F97" t="s">
        <v>65</v>
      </c>
      <c r="H97" s="51"/>
    </row>
    <row r="98" spans="3:30">
      <c r="D98" s="3" t="s">
        <v>98</v>
      </c>
      <c r="E98" s="23">
        <f>E90*E91*E94*E95</f>
        <v>0</v>
      </c>
      <c r="F98" t="s">
        <v>65</v>
      </c>
    </row>
    <row r="99" spans="3:30" ht="6" customHeight="1"/>
    <row r="100" spans="3:30" ht="4.5" customHeight="1"/>
    <row r="101" spans="3:30">
      <c r="C101" s="16" t="s">
        <v>99</v>
      </c>
      <c r="D101" s="16"/>
      <c r="E101" s="16"/>
      <c r="F101" s="16"/>
      <c r="G101" s="3"/>
      <c r="H101" s="3"/>
      <c r="I101" s="3"/>
      <c r="J101" s="3"/>
      <c r="K101" s="3"/>
      <c r="L101" s="3"/>
      <c r="N101" s="3"/>
      <c r="O101" s="3"/>
      <c r="Q101" s="3"/>
      <c r="R101" s="3"/>
      <c r="U101" s="9"/>
    </row>
    <row r="102" spans="3:30">
      <c r="D102" t="s">
        <v>100</v>
      </c>
      <c r="E102" s="1">
        <v>200</v>
      </c>
      <c r="F102" t="s">
        <v>101</v>
      </c>
      <c r="U102" s="51"/>
    </row>
    <row r="103" spans="3:30">
      <c r="D103" t="s">
        <v>102</v>
      </c>
      <c r="E103" s="5">
        <v>0.8</v>
      </c>
      <c r="F103" t="s">
        <v>42</v>
      </c>
    </row>
    <row r="104" spans="3:30">
      <c r="D104" t="s">
        <v>103</v>
      </c>
      <c r="E104" s="6">
        <v>20</v>
      </c>
      <c r="F104" t="s">
        <v>104</v>
      </c>
    </row>
    <row r="105" spans="3:30">
      <c r="D105" s="3" t="s">
        <v>105</v>
      </c>
      <c r="E105" s="23">
        <f>E102*E103*E104</f>
        <v>3200</v>
      </c>
      <c r="F105" t="s">
        <v>65</v>
      </c>
      <c r="U105" s="9"/>
      <c r="V105" s="9"/>
      <c r="W105" s="9"/>
      <c r="X105" s="9"/>
    </row>
    <row r="106" spans="3:30" ht="9" customHeight="1"/>
    <row r="107" spans="3:30">
      <c r="D107" t="s">
        <v>106</v>
      </c>
      <c r="E107" s="1">
        <v>2000</v>
      </c>
      <c r="F107" t="s">
        <v>101</v>
      </c>
      <c r="U107" s="9"/>
      <c r="V107" s="9"/>
      <c r="W107" s="9"/>
      <c r="X107" s="9"/>
      <c r="Y107" s="9"/>
      <c r="Z107" s="9"/>
      <c r="AA107" s="9"/>
      <c r="AB107" s="9"/>
      <c r="AC107" s="9"/>
      <c r="AD107" s="9"/>
    </row>
    <row r="108" spans="3:30">
      <c r="D108" t="s">
        <v>102</v>
      </c>
      <c r="E108" s="5">
        <v>0.25</v>
      </c>
      <c r="F108" t="s">
        <v>42</v>
      </c>
      <c r="U108" s="9"/>
      <c r="V108" s="9"/>
      <c r="W108" s="9"/>
      <c r="X108" s="9"/>
    </row>
    <row r="109" spans="3:30">
      <c r="D109" t="s">
        <v>107</v>
      </c>
      <c r="E109" s="6">
        <v>20</v>
      </c>
      <c r="F109" t="s">
        <v>104</v>
      </c>
    </row>
    <row r="110" spans="3:30">
      <c r="D110" s="3" t="s">
        <v>108</v>
      </c>
      <c r="E110" s="23">
        <f>E107*E108*E109</f>
        <v>10000</v>
      </c>
      <c r="F110" t="s">
        <v>65</v>
      </c>
    </row>
    <row r="111" spans="3:30" ht="8.4499999999999993" customHeight="1"/>
    <row r="112" spans="3:30" ht="6" customHeight="1"/>
    <row r="113" spans="2:30" ht="18.95" customHeight="1">
      <c r="B113" s="77" t="s">
        <v>109</v>
      </c>
      <c r="C113" s="78"/>
      <c r="D113" s="78"/>
      <c r="E113" s="78"/>
      <c r="F113" s="78"/>
      <c r="G113" s="78"/>
      <c r="H113" s="78"/>
      <c r="I113" s="78"/>
      <c r="J113" s="78"/>
      <c r="K113" s="78"/>
      <c r="L113" s="78"/>
      <c r="M113" s="78"/>
      <c r="N113" s="78"/>
      <c r="O113" s="78"/>
      <c r="P113" s="78"/>
      <c r="Q113" s="78"/>
      <c r="R113" s="78"/>
    </row>
    <row r="114" spans="2:30" ht="18.95" customHeight="1">
      <c r="B114" s="4"/>
      <c r="E114" s="85" t="str">
        <f>E15</f>
        <v>Field #1</v>
      </c>
      <c r="F114" s="85"/>
      <c r="G114" s="39"/>
      <c r="H114" s="85" t="str">
        <f>H15</f>
        <v>Field #2</v>
      </c>
      <c r="I114" s="85"/>
      <c r="J114" s="39"/>
      <c r="K114" s="85" t="str">
        <f>K15</f>
        <v>Field #3</v>
      </c>
      <c r="L114" s="85"/>
      <c r="N114" s="85" t="str">
        <f>N15</f>
        <v>Field #4</v>
      </c>
      <c r="O114" s="85"/>
      <c r="Q114" s="85" t="str">
        <f>Q15</f>
        <v>Field #5</v>
      </c>
      <c r="R114" s="85"/>
    </row>
    <row r="115" spans="2:30" ht="32.450000000000003" customHeight="1">
      <c r="B115" s="4"/>
      <c r="E115" s="85" t="str">
        <f>E16</f>
        <v>Alfalfa Hay</v>
      </c>
      <c r="F115" s="85"/>
      <c r="G115" s="39"/>
      <c r="H115" s="85" t="str">
        <f>H16</f>
        <v>Mixed Grass Hay</v>
      </c>
      <c r="I115" s="85"/>
      <c r="J115" s="39"/>
      <c r="K115" s="85" t="str">
        <f>K16</f>
        <v>Alfalfa-grass Baled Silage</v>
      </c>
      <c r="L115" s="85"/>
      <c r="N115" s="85">
        <f>N16</f>
        <v>0</v>
      </c>
      <c r="O115" s="85"/>
      <c r="Q115" s="85">
        <f>Q16</f>
        <v>0</v>
      </c>
      <c r="R115" s="85"/>
    </row>
    <row r="116" spans="2:30" ht="18.95" customHeight="1">
      <c r="C116" s="79" t="s">
        <v>110</v>
      </c>
      <c r="D116" s="79"/>
      <c r="E116" s="80"/>
      <c r="F116" s="80"/>
      <c r="G116" s="46"/>
      <c r="H116" s="80"/>
      <c r="I116" s="80"/>
      <c r="J116" s="46"/>
      <c r="K116" s="80"/>
      <c r="L116" s="80"/>
      <c r="N116" s="80"/>
      <c r="O116" s="80"/>
      <c r="Q116" s="80"/>
      <c r="R116" s="80"/>
      <c r="T116" s="9"/>
    </row>
    <row r="117" spans="2:30" ht="18.95" customHeight="1">
      <c r="C117" s="3"/>
      <c r="D117" t="s">
        <v>111</v>
      </c>
      <c r="E117" s="11">
        <f>IFERROR(E22*E23/SUM(E19,E22),0)</f>
        <v>80</v>
      </c>
      <c r="F117" t="s">
        <v>28</v>
      </c>
      <c r="H117" s="11">
        <f>IFERROR(H22*H23/SUM(H19,H22),0)</f>
        <v>75</v>
      </c>
      <c r="I117" t="s">
        <v>28</v>
      </c>
      <c r="K117" s="11">
        <f>IFERROR(K22*K23/SUM(K19,K22),0)</f>
        <v>0</v>
      </c>
      <c r="L117" t="s">
        <v>28</v>
      </c>
      <c r="N117" s="11">
        <f>IFERROR(N22*N23/SUM(N19,N22),0)</f>
        <v>0</v>
      </c>
      <c r="O117" t="s">
        <v>28</v>
      </c>
      <c r="Q117" s="11">
        <f>IFERROR(Q22*Q23/SUM(Q19,Q22),0)</f>
        <v>0</v>
      </c>
      <c r="R117" t="s">
        <v>28</v>
      </c>
      <c r="T117" s="49"/>
    </row>
    <row r="118" spans="2:30" ht="18.95" customHeight="1">
      <c r="D118" t="s">
        <v>112</v>
      </c>
      <c r="E118" s="11">
        <f>IFERROR(IF(F17=1,(E43+E53*(E26-1))/E26,E43),0)</f>
        <v>63.5</v>
      </c>
      <c r="F118" t="s">
        <v>28</v>
      </c>
      <c r="H118" s="11">
        <f>IFERROR(IF(I17=1,(H43+H53*(H26-1))/H26,H43),0)</f>
        <v>53.571428571428569</v>
      </c>
      <c r="I118" t="s">
        <v>28</v>
      </c>
      <c r="K118" s="11">
        <f>IFERROR(IF(L17=1,(K43+K53*(K26-1))/K26,K43),0)</f>
        <v>80.833333333333329</v>
      </c>
      <c r="L118" t="s">
        <v>28</v>
      </c>
      <c r="N118" s="11">
        <f>IFERROR(IF(O17=1,(N43+N53*(N26-1))/N26,N43),0)</f>
        <v>0</v>
      </c>
      <c r="O118" t="s">
        <v>28</v>
      </c>
      <c r="Q118" s="11">
        <f>IFERROR(IF(R17=1,(Q43+Q53*(Q26-1))/Q26,Q43),0)</f>
        <v>0</v>
      </c>
      <c r="R118" t="s">
        <v>28</v>
      </c>
      <c r="T118" s="49"/>
    </row>
    <row r="119" spans="2:30" ht="18.95" customHeight="1">
      <c r="D119" t="s">
        <v>113</v>
      </c>
      <c r="E119" s="11">
        <f>IF((E19+E22)&gt;0,($E$74+$E$105)/($T$19+$T$22),0)</f>
        <v>107.75</v>
      </c>
      <c r="F119" t="s">
        <v>28</v>
      </c>
      <c r="H119" s="11">
        <f>IF((H19+H22)&gt;0,($E$74+$E$105)/($T$19+$T$22),0)</f>
        <v>107.75</v>
      </c>
      <c r="I119" t="s">
        <v>28</v>
      </c>
      <c r="K119" s="11">
        <f>IF((K19+K22)&gt;0,($E$74+$E$105)/($T$19+$T$22),0)</f>
        <v>107.75</v>
      </c>
      <c r="L119" t="s">
        <v>28</v>
      </c>
      <c r="N119" s="11">
        <f>IF((N19+N22)&gt;0,($E$74+$E$105)/($T$19+$T$22),0)</f>
        <v>0</v>
      </c>
      <c r="O119" t="s">
        <v>28</v>
      </c>
      <c r="Q119" s="11">
        <f>IF((Q19+Q22)&gt;0,($E$74+$E$105)/($T$19+$T$22),0)</f>
        <v>0</v>
      </c>
      <c r="R119" t="s">
        <v>28</v>
      </c>
      <c r="T119" s="49"/>
    </row>
    <row r="120" spans="2:30" ht="18.95" customHeight="1">
      <c r="D120" s="3" t="s">
        <v>114</v>
      </c>
      <c r="E120" s="12">
        <f>SUM(E117:E119)</f>
        <v>251.25</v>
      </c>
      <c r="F120" s="3" t="s">
        <v>28</v>
      </c>
      <c r="G120" s="3"/>
      <c r="H120" s="12">
        <f>SUM(H117:H119)</f>
        <v>236.32142857142856</v>
      </c>
      <c r="I120" s="3" t="s">
        <v>28</v>
      </c>
      <c r="J120" s="3"/>
      <c r="K120" s="12">
        <f>SUM(K117:K119)</f>
        <v>188.58333333333331</v>
      </c>
      <c r="L120" s="3" t="s">
        <v>28</v>
      </c>
      <c r="N120" s="12">
        <f>SUM(N117:N119)</f>
        <v>0</v>
      </c>
      <c r="O120" s="3" t="s">
        <v>28</v>
      </c>
      <c r="Q120" s="12">
        <f>SUM(Q117:Q119)</f>
        <v>0</v>
      </c>
      <c r="R120" s="3" t="s">
        <v>28</v>
      </c>
      <c r="T120" s="49"/>
      <c r="U120" s="3"/>
      <c r="W120" s="49"/>
      <c r="Z120" s="49"/>
      <c r="AD120" s="49"/>
    </row>
    <row r="121" spans="2:30" ht="8.4499999999999993" customHeight="1">
      <c r="D121" s="3"/>
    </row>
    <row r="122" spans="2:30" ht="18.95" customHeight="1">
      <c r="C122" s="79" t="s">
        <v>115</v>
      </c>
      <c r="D122" s="80"/>
      <c r="E122" s="80"/>
      <c r="F122" s="80"/>
      <c r="G122" s="46"/>
      <c r="H122" s="80"/>
      <c r="I122" s="80"/>
      <c r="J122" s="46"/>
      <c r="K122" s="80"/>
      <c r="L122" s="80"/>
      <c r="N122" s="80"/>
      <c r="O122" s="80"/>
      <c r="Q122" s="80"/>
      <c r="R122" s="80"/>
    </row>
    <row r="123" spans="2:30" ht="18.95" customHeight="1">
      <c r="D123" t="s">
        <v>116</v>
      </c>
      <c r="E123" s="11">
        <f>IF((E19+E22)&gt;0,$E$86/($T$19+$T$22),0)</f>
        <v>27</v>
      </c>
      <c r="F123" t="s">
        <v>28</v>
      </c>
      <c r="H123" s="11">
        <f>IF((H19+H22)&gt;0,$E$86/($T$19+$T$22),0)</f>
        <v>27</v>
      </c>
      <c r="I123" t="s">
        <v>28</v>
      </c>
      <c r="K123" s="11">
        <f>IF((K19+K22)&gt;0,$E$86/($T$19+$T$22),0)</f>
        <v>27</v>
      </c>
      <c r="L123" t="s">
        <v>28</v>
      </c>
      <c r="N123" s="11">
        <f>IF((N19+N22)&gt;0,$E$86/($T$19+$T$22),0)</f>
        <v>0</v>
      </c>
      <c r="O123" t="s">
        <v>28</v>
      </c>
      <c r="Q123" s="11">
        <f>IF((Q19+Q22)&gt;0,$E$86/($T$19+$T$22),0)</f>
        <v>0</v>
      </c>
      <c r="R123" t="s">
        <v>28</v>
      </c>
      <c r="T123" s="51"/>
    </row>
    <row r="124" spans="2:30" ht="18.95" customHeight="1">
      <c r="D124" t="s">
        <v>92</v>
      </c>
      <c r="E124" s="11">
        <f>IF((E19+E22)&gt;0,$E$97/($T$19+$T$22),0)</f>
        <v>0</v>
      </c>
      <c r="F124" t="s">
        <v>28</v>
      </c>
      <c r="H124" s="11">
        <f>IF((H19+H22)&gt;0,$E$97/($T$19+$T$22),0)</f>
        <v>0</v>
      </c>
      <c r="I124" t="s">
        <v>28</v>
      </c>
      <c r="K124" s="11">
        <f>IF((K19+K22)&gt;0,$E$97/($T$19+$T$22),0)</f>
        <v>0</v>
      </c>
      <c r="L124" t="s">
        <v>28</v>
      </c>
      <c r="N124" s="11">
        <f>IF((N19+N22)&gt;0,$E$97/($T$19+$T$22),0)</f>
        <v>0</v>
      </c>
      <c r="O124" t="s">
        <v>28</v>
      </c>
      <c r="Q124" s="11">
        <f>IF((Q19+Q22)&gt;0,$E$97/($T$19+$T$22),0)</f>
        <v>0</v>
      </c>
      <c r="R124" t="s">
        <v>28</v>
      </c>
      <c r="T124" s="51"/>
    </row>
    <row r="125" spans="2:30" ht="18.95" customHeight="1">
      <c r="D125" s="3" t="s">
        <v>117</v>
      </c>
      <c r="E125" s="12">
        <f>SUM(E123:E124)</f>
        <v>27</v>
      </c>
      <c r="F125" s="3" t="s">
        <v>28</v>
      </c>
      <c r="G125" s="3"/>
      <c r="H125" s="12">
        <f>SUM(H123:H124)</f>
        <v>27</v>
      </c>
      <c r="I125" s="3" t="s">
        <v>28</v>
      </c>
      <c r="J125" s="3"/>
      <c r="K125" s="12">
        <f>SUM(K123:K124)</f>
        <v>27</v>
      </c>
      <c r="L125" s="3" t="s">
        <v>28</v>
      </c>
      <c r="N125" s="12">
        <f>SUM(N123:N124)</f>
        <v>0</v>
      </c>
      <c r="O125" s="3" t="s">
        <v>28</v>
      </c>
      <c r="Q125" s="12">
        <f>SUM(Q123:Q124)</f>
        <v>0</v>
      </c>
      <c r="R125" s="3" t="s">
        <v>28</v>
      </c>
      <c r="T125" s="51"/>
    </row>
    <row r="126" spans="2:30" ht="8.4499999999999993" customHeight="1"/>
    <row r="127" spans="2:30" ht="18.95" customHeight="1">
      <c r="C127" s="79" t="s">
        <v>118</v>
      </c>
      <c r="D127" s="80"/>
      <c r="E127" s="80"/>
      <c r="F127" s="80"/>
      <c r="G127" s="46"/>
      <c r="H127" s="80"/>
      <c r="I127" s="80"/>
      <c r="J127" s="46"/>
      <c r="K127" s="80"/>
      <c r="L127" s="80"/>
      <c r="N127" s="80"/>
      <c r="O127" s="80"/>
      <c r="Q127" s="80"/>
      <c r="R127" s="80"/>
    </row>
    <row r="128" spans="2:30" ht="18.95" customHeight="1">
      <c r="D128" t="s">
        <v>119</v>
      </c>
      <c r="E128" s="19">
        <f>IFERROR((E19*E20)/SUM(E19,E22),0)</f>
        <v>0</v>
      </c>
      <c r="F128" t="s">
        <v>28</v>
      </c>
      <c r="H128" s="19">
        <f>IFERROR((H19*H20)/SUM(H19,H22),0)</f>
        <v>0</v>
      </c>
      <c r="I128" t="s">
        <v>28</v>
      </c>
      <c r="K128" s="19">
        <f>IFERROR((K19*K20)/SUM(K19,K22),0)</f>
        <v>80</v>
      </c>
      <c r="L128" t="s">
        <v>28</v>
      </c>
      <c r="N128" s="19">
        <f>IFERROR((N19*N20)/SUM(N19,N22),0)</f>
        <v>0</v>
      </c>
      <c r="O128" t="s">
        <v>28</v>
      </c>
      <c r="Q128" s="19">
        <f>IFERROR((Q19*Q20)/SUM(Q19,Q22),0)</f>
        <v>0</v>
      </c>
      <c r="R128" t="s">
        <v>28</v>
      </c>
      <c r="T128" s="51"/>
    </row>
    <row r="129" spans="2:21" ht="18.95" customHeight="1">
      <c r="D129" t="s">
        <v>120</v>
      </c>
      <c r="E129" s="11">
        <f>IF((E19+E22)&gt;0,$E$110/($T$19+$T$22),0)</f>
        <v>50</v>
      </c>
      <c r="F129" t="s">
        <v>28</v>
      </c>
      <c r="H129" s="11">
        <f>IF((H19+H22)&gt;0,$E$110/($T$19+$T$22),0)</f>
        <v>50</v>
      </c>
      <c r="I129" t="s">
        <v>28</v>
      </c>
      <c r="K129" s="11">
        <f>IF((K19+K22)&gt;0,$E$110/($T$19+$T$22),0)</f>
        <v>50</v>
      </c>
      <c r="L129" t="s">
        <v>28</v>
      </c>
      <c r="N129" s="11">
        <f>IF((N19+N22)&gt;0,$E$110/($T$19+$T$22),0)</f>
        <v>0</v>
      </c>
      <c r="O129" t="s">
        <v>28</v>
      </c>
      <c r="Q129" s="11">
        <f>IF((Q19+Q22)&gt;0,$E$110/($T$19+$T$22),0)</f>
        <v>0</v>
      </c>
      <c r="R129" t="s">
        <v>28</v>
      </c>
      <c r="T129" s="51"/>
    </row>
    <row r="130" spans="2:21" ht="18.95" customHeight="1">
      <c r="D130" t="s">
        <v>121</v>
      </c>
      <c r="E130" s="11">
        <f>IF((E$19+E$22)&gt;0,($E$87+$E$98)/($T$19+$T$22),0)</f>
        <v>5.94</v>
      </c>
      <c r="F130" t="s">
        <v>28</v>
      </c>
      <c r="H130" s="11">
        <f>IF((H$19+H$22)&gt;0,($E$87+$E$98)/($T$19+$T$22),0)</f>
        <v>5.94</v>
      </c>
      <c r="I130" t="s">
        <v>28</v>
      </c>
      <c r="K130" s="11">
        <f>IF((K$19+K$22)&gt;0,($E$87+$E$98)/($T$19+$T$22),0)</f>
        <v>5.94</v>
      </c>
      <c r="L130" t="s">
        <v>28</v>
      </c>
      <c r="N130" s="11">
        <f>IF((N$19+N$22)&gt;0,($E$87+$E$98)/($T$19+$T$22),0)</f>
        <v>0</v>
      </c>
      <c r="O130" t="s">
        <v>28</v>
      </c>
      <c r="Q130" s="11">
        <f>IF((Q$19+Q$22)&gt;0,($E$87+$E$98)/($T$19+$T$22),0)</f>
        <v>0</v>
      </c>
      <c r="R130" t="s">
        <v>28</v>
      </c>
      <c r="T130" s="51"/>
    </row>
    <row r="131" spans="2:21" ht="18.95" customHeight="1">
      <c r="D131" s="3" t="s">
        <v>122</v>
      </c>
      <c r="E131" s="20">
        <f>SUM(E128:E130)</f>
        <v>55.94</v>
      </c>
      <c r="F131" s="3" t="s">
        <v>28</v>
      </c>
      <c r="G131" s="3"/>
      <c r="H131" s="20">
        <f>SUM(H128:H130)</f>
        <v>55.94</v>
      </c>
      <c r="I131" s="3" t="s">
        <v>28</v>
      </c>
      <c r="J131" s="3"/>
      <c r="K131" s="20">
        <f>SUM(K128:K130)</f>
        <v>135.94</v>
      </c>
      <c r="L131" s="3" t="s">
        <v>28</v>
      </c>
      <c r="N131" s="20">
        <f>SUM(N128:N130)</f>
        <v>0</v>
      </c>
      <c r="O131" s="3" t="s">
        <v>28</v>
      </c>
      <c r="Q131" s="20">
        <f>SUM(Q128:Q130)</f>
        <v>0</v>
      </c>
      <c r="R131" s="3" t="s">
        <v>28</v>
      </c>
    </row>
    <row r="132" spans="2:21" ht="6.95" customHeight="1"/>
    <row r="133" spans="2:21" ht="18.95" customHeight="1">
      <c r="C133" s="79" t="s">
        <v>123</v>
      </c>
      <c r="D133" s="79"/>
      <c r="E133" s="81">
        <f>SUM(E120,E125,E131)</f>
        <v>334.19</v>
      </c>
      <c r="F133" s="79" t="s">
        <v>28</v>
      </c>
      <c r="G133" s="47"/>
      <c r="H133" s="81">
        <f>SUM(H120,H125,H131)</f>
        <v>319.26142857142855</v>
      </c>
      <c r="I133" s="79" t="s">
        <v>28</v>
      </c>
      <c r="J133" s="47"/>
      <c r="K133" s="81">
        <f>SUM(K120,K125,K131)</f>
        <v>351.52333333333331</v>
      </c>
      <c r="L133" s="79" t="s">
        <v>28</v>
      </c>
      <c r="N133" s="81">
        <f>SUM(N120,N125,N131)</f>
        <v>0</v>
      </c>
      <c r="O133" s="79" t="s">
        <v>28</v>
      </c>
      <c r="Q133" s="81">
        <f>SUM(Q120,Q125,Q131)</f>
        <v>0</v>
      </c>
      <c r="R133" s="79" t="s">
        <v>28</v>
      </c>
    </row>
    <row r="134" spans="2:21" ht="9" customHeight="1">
      <c r="C134" s="47"/>
      <c r="D134" s="47"/>
      <c r="E134" s="82"/>
      <c r="F134" s="47"/>
      <c r="G134" s="47"/>
      <c r="H134" s="82"/>
      <c r="I134" s="47"/>
      <c r="J134" s="47"/>
      <c r="K134" s="82"/>
      <c r="L134" s="47"/>
      <c r="N134" s="82"/>
      <c r="O134" s="47"/>
      <c r="Q134" s="82"/>
      <c r="R134" s="47"/>
    </row>
    <row r="135" spans="2:21" ht="18.600000000000001">
      <c r="B135" s="28" t="s">
        <v>124</v>
      </c>
      <c r="C135" s="25"/>
      <c r="D135" s="25"/>
      <c r="E135" s="25"/>
      <c r="F135" s="25"/>
      <c r="G135" s="25"/>
      <c r="H135" s="25"/>
      <c r="I135" s="25"/>
      <c r="J135" s="25"/>
      <c r="K135" s="25"/>
      <c r="L135" s="25"/>
      <c r="M135" s="25"/>
      <c r="N135" s="25"/>
      <c r="O135" s="25"/>
      <c r="P135" s="25"/>
      <c r="Q135" s="25"/>
      <c r="R135" s="25"/>
    </row>
    <row r="136" spans="2:21" ht="14.1" customHeight="1">
      <c r="B136" s="4"/>
      <c r="E136" s="85" t="str">
        <f>E15</f>
        <v>Field #1</v>
      </c>
      <c r="F136" s="85"/>
      <c r="G136" s="39"/>
      <c r="H136" s="85" t="str">
        <f>H15</f>
        <v>Field #2</v>
      </c>
      <c r="I136" s="85"/>
      <c r="J136" s="39"/>
      <c r="K136" s="85" t="str">
        <f>K15</f>
        <v>Field #3</v>
      </c>
      <c r="L136" s="85"/>
      <c r="N136" s="85" t="str">
        <f>N15</f>
        <v>Field #4</v>
      </c>
      <c r="O136" s="85"/>
      <c r="Q136" s="85" t="str">
        <f>Q15</f>
        <v>Field #5</v>
      </c>
      <c r="R136" s="85"/>
    </row>
    <row r="137" spans="2:21" ht="30.6" customHeight="1">
      <c r="B137" s="4"/>
      <c r="E137" s="86" t="str">
        <f>_xlfn.CONCAT(E16," ","")</f>
        <v xml:space="preserve">Alfalfa Hay </v>
      </c>
      <c r="F137" s="86"/>
      <c r="G137" s="39"/>
      <c r="H137" s="86" t="str">
        <f>H16</f>
        <v>Mixed Grass Hay</v>
      </c>
      <c r="I137" s="86"/>
      <c r="J137" s="39"/>
      <c r="K137" s="86" t="str">
        <f>K16</f>
        <v>Alfalfa-grass Baled Silage</v>
      </c>
      <c r="L137" s="86"/>
      <c r="N137" s="86">
        <f>N16</f>
        <v>0</v>
      </c>
      <c r="O137" s="86"/>
      <c r="Q137" s="86">
        <f>Q16</f>
        <v>0</v>
      </c>
      <c r="R137" s="86"/>
    </row>
    <row r="138" spans="2:21">
      <c r="C138" s="26" t="s">
        <v>110</v>
      </c>
      <c r="D138" s="26"/>
      <c r="E138" s="27"/>
      <c r="F138" s="27"/>
      <c r="G138" s="46"/>
      <c r="H138" s="27"/>
      <c r="I138" s="27"/>
      <c r="J138" s="46"/>
      <c r="K138" s="27"/>
      <c r="L138" s="27"/>
      <c r="N138" s="27"/>
      <c r="O138" s="27"/>
      <c r="Q138" s="27"/>
      <c r="R138" s="27"/>
      <c r="T138" s="9"/>
    </row>
    <row r="139" spans="2:21">
      <c r="C139" s="3"/>
      <c r="D139" t="s">
        <v>111</v>
      </c>
      <c r="E139" s="11">
        <f>IFERROR(E23*E22/E30,0)</f>
        <v>40</v>
      </c>
      <c r="F139" t="s">
        <v>125</v>
      </c>
      <c r="H139" s="11">
        <f>IFERROR(H23*H22/H30,0)</f>
        <v>41.666666666666664</v>
      </c>
      <c r="I139" t="s">
        <v>125</v>
      </c>
      <c r="K139" s="11">
        <f>IFERROR(K23*K22/K30,0)</f>
        <v>0</v>
      </c>
      <c r="L139" t="s">
        <v>125</v>
      </c>
      <c r="N139" s="11">
        <f>IFERROR(N23*N22/N30,0)</f>
        <v>0</v>
      </c>
      <c r="O139" t="s">
        <v>125</v>
      </c>
      <c r="Q139" s="11">
        <f>IFERROR(Q23*Q22/Q30,0)</f>
        <v>0</v>
      </c>
      <c r="R139" t="s">
        <v>125</v>
      </c>
      <c r="T139" s="49"/>
    </row>
    <row r="140" spans="2:21" ht="16.5">
      <c r="D140" t="s">
        <v>112</v>
      </c>
      <c r="E140" s="11">
        <f>IFERROR(IF(F17=1,(E43+E53*(E26-1))/E26/E27,E43/E27),0)</f>
        <v>31.75</v>
      </c>
      <c r="F140" t="s">
        <v>125</v>
      </c>
      <c r="H140" s="11">
        <f>IFERROR(IF(I17=1,(H43+H53*(H26-1))/H26/H27,H43/H27),0)</f>
        <v>29.761904761904759</v>
      </c>
      <c r="I140" t="s">
        <v>125</v>
      </c>
      <c r="K140" s="11">
        <f>IFERROR(IF(L17=1,(K43+K53*(K26-1))/K26/K27,K43/K27),0)</f>
        <v>23.095238095238095</v>
      </c>
      <c r="L140" t="s">
        <v>125</v>
      </c>
      <c r="N140" s="11">
        <f>IFERROR(IF(O17=1,(N43+N53*(N26-1))/N26/N27,N43/N27),0)</f>
        <v>0</v>
      </c>
      <c r="O140" t="s">
        <v>125</v>
      </c>
      <c r="Q140" s="11">
        <f>IFERROR(IF(R17=1,(Q43+Q53*(Q26-1))/Q26/Q27,Q43/Q27),0)</f>
        <v>0</v>
      </c>
      <c r="R140" t="s">
        <v>125</v>
      </c>
      <c r="T140" s="49"/>
    </row>
    <row r="141" spans="2:21" ht="16.5">
      <c r="D141" t="s">
        <v>113</v>
      </c>
      <c r="E141" s="11">
        <f>IFERROR(($E74+$E105)*(SUM(E19,E22)/SUM($E19,$H19,$K19,$N19,$Q19,$E22,$H22,$K22,$N22,$Q22))/E30,0)</f>
        <v>53.875</v>
      </c>
      <c r="F141" t="s">
        <v>125</v>
      </c>
      <c r="H141" s="11">
        <f>IFERROR(($E74+$E105)*(SUM(H19,H22)/SUM($E19,$H19,$K19,$N19,$Q19,$E22,$H22,$K22,$N22,$Q22))/H30,0)</f>
        <v>59.861111111111114</v>
      </c>
      <c r="I141" t="s">
        <v>125</v>
      </c>
      <c r="K141" s="11">
        <f>IFERROR(($E74+$E105)*(SUM(K19,K22)/SUM($E19,$H19,$K19,$N19,$Q19,$E22,$H22,$K22,$N22,$Q22))/K30,0)</f>
        <v>30.785714285714285</v>
      </c>
      <c r="L141" t="s">
        <v>125</v>
      </c>
      <c r="N141" s="11">
        <f>IFERROR(($E74+$E105)*(SUM(N19,N22)/SUM($E19,$H19,$K19,$N19,$Q19,$E22,$H22,$K22,$N22,$Q22))/N30,0)</f>
        <v>0</v>
      </c>
      <c r="O141" t="s">
        <v>125</v>
      </c>
      <c r="Q141" s="11">
        <f>IFERROR(($E74+$E105)*(SUM(Q19,Q22)/SUM($E19,$H19,$K19,$N19,$Q19,$E22,$H22,$K22,$N22,$Q22))/Q30,0)</f>
        <v>0</v>
      </c>
      <c r="R141" t="s">
        <v>125</v>
      </c>
      <c r="T141" s="49"/>
    </row>
    <row r="142" spans="2:21">
      <c r="D142" s="3" t="s">
        <v>114</v>
      </c>
      <c r="E142" s="12">
        <f>SUM(E139:E141)</f>
        <v>125.625</v>
      </c>
      <c r="F142" s="3" t="s">
        <v>125</v>
      </c>
      <c r="G142" s="3"/>
      <c r="H142" s="12">
        <f>SUM(H139:H141)</f>
        <v>131.28968253968253</v>
      </c>
      <c r="I142" s="3" t="s">
        <v>125</v>
      </c>
      <c r="J142" s="3"/>
      <c r="K142" s="12">
        <f>SUM(K139:K141)</f>
        <v>53.88095238095238</v>
      </c>
      <c r="L142" s="3" t="s">
        <v>125</v>
      </c>
      <c r="N142" s="12">
        <f>SUM(N139:N141)</f>
        <v>0</v>
      </c>
      <c r="O142" s="3" t="s">
        <v>125</v>
      </c>
      <c r="Q142" s="12">
        <f>SUM(Q139:Q141)</f>
        <v>0</v>
      </c>
      <c r="R142" s="3" t="s">
        <v>125</v>
      </c>
      <c r="T142" s="49"/>
      <c r="U142" s="3"/>
    </row>
    <row r="143" spans="2:21" ht="6.95" customHeight="1">
      <c r="D143" s="3"/>
    </row>
    <row r="144" spans="2:21" ht="16.5">
      <c r="C144" s="26" t="s">
        <v>115</v>
      </c>
      <c r="D144" s="27"/>
      <c r="E144" s="27"/>
      <c r="F144" s="27"/>
      <c r="G144" s="46"/>
      <c r="H144" s="27"/>
      <c r="I144" s="27"/>
      <c r="J144" s="46"/>
      <c r="K144" s="27"/>
      <c r="L144" s="27"/>
      <c r="N144" s="27"/>
      <c r="O144" s="27"/>
      <c r="Q144" s="27"/>
      <c r="R144" s="27"/>
    </row>
    <row r="145" spans="2:24">
      <c r="D145" t="s">
        <v>116</v>
      </c>
      <c r="E145" s="11">
        <f>IFERROR($E86*(SUM(E19,E22)/SUM($E$19,$H$19,$K$19,$N$19,$Q$19,$E$22,$H$22,$K$22,$N$22,$Q$22))/E30,0)</f>
        <v>13.5</v>
      </c>
      <c r="F145" t="s">
        <v>125</v>
      </c>
      <c r="H145" s="11">
        <f>IFERROR($E86*(SUM(H19,H22)/SUM($E$19,$H$19,$K$19,$N$19,$Q$19,$E$22,$H$22,$K$22,$N$22,$Q$22))/H30,0)</f>
        <v>15</v>
      </c>
      <c r="I145" t="s">
        <v>125</v>
      </c>
      <c r="K145" s="11">
        <f>IFERROR($E86*(SUM(K19,K22)/SUM($E$19,$H$19,$K$19,$N$19,$Q$19,$E$22,$H$22,$K$22,$N$22,$Q$22))/K30,0)</f>
        <v>7.7142857142857144</v>
      </c>
      <c r="L145" t="s">
        <v>125</v>
      </c>
      <c r="N145" s="11">
        <f>IFERROR($E86*(SUM(N19,N22)/SUM($E$19,$H$19,$K$19,$N$19,$Q$19,$E$22,$H$22,$K$22,$N$22,$Q$22))/N30,0)</f>
        <v>0</v>
      </c>
      <c r="O145" t="s">
        <v>125</v>
      </c>
      <c r="Q145" s="11">
        <f>IFERROR($E86*(SUM(Q19,Q22)/SUM($E$19,$H$19,$K$19,$N$19,$Q$19,$E$22,$H$22,$K$22,$N$22,$Q$22))/Q30,0)</f>
        <v>0</v>
      </c>
      <c r="R145" t="s">
        <v>125</v>
      </c>
      <c r="T145" s="51"/>
      <c r="W145" s="51"/>
      <c r="X145" s="51"/>
    </row>
    <row r="146" spans="2:24">
      <c r="D146" t="s">
        <v>92</v>
      </c>
      <c r="E146" s="11">
        <f>IFERROR($E97*(SUM(E19,E22)/SUM($E$19,$H$19,$K$19,$N$19,$Q$19,$E$22,$H$22,$K$22,$N$22,$Q$22))/E30,0)</f>
        <v>0</v>
      </c>
      <c r="F146" t="s">
        <v>125</v>
      </c>
      <c r="H146" s="11">
        <f>IFERROR($E97*(SUM(H19,H22)/SUM($E$19,$H$19,$K$19,$N$19,$Q$19,$E$22,$H$22,$K$22,$N$22,$Q$22))/H30,0)</f>
        <v>0</v>
      </c>
      <c r="I146" t="s">
        <v>125</v>
      </c>
      <c r="K146" s="11">
        <f>IFERROR($E97*(SUM(K19,K22)/SUM($E$19,$H$19,$K$19,$N$19,$Q$19,$E$22,$H$22,$K$22,$N$22,$Q$22))/K30,0)</f>
        <v>0</v>
      </c>
      <c r="L146" t="s">
        <v>125</v>
      </c>
      <c r="N146" s="11">
        <f>IFERROR($E97*(SUM(N19,N22)/SUM($E$19,$H$19,$K$19,$N$19,$Q$19,$E$22,$H$22,$K$22,$N$22,$Q$22))/N30,0)</f>
        <v>0</v>
      </c>
      <c r="O146" t="s">
        <v>125</v>
      </c>
      <c r="Q146" s="11">
        <f>IFERROR($E97*(SUM(Q19,Q22)/SUM($E$19,$H$19,$K$19,$N$19,$Q$19,$E$22,$H$22,$K$22,$N$22,$Q$22))/Q30,0)</f>
        <v>0</v>
      </c>
      <c r="R146" t="s">
        <v>125</v>
      </c>
      <c r="T146" s="51"/>
      <c r="W146" s="51"/>
      <c r="X146" s="51"/>
    </row>
    <row r="147" spans="2:24">
      <c r="D147" s="3" t="s">
        <v>117</v>
      </c>
      <c r="E147" s="12">
        <f>SUM(E145:E146)</f>
        <v>13.5</v>
      </c>
      <c r="F147" s="3" t="s">
        <v>125</v>
      </c>
      <c r="G147" s="3"/>
      <c r="H147" s="12">
        <f>SUM(H145:H146)</f>
        <v>15</v>
      </c>
      <c r="I147" s="3" t="s">
        <v>125</v>
      </c>
      <c r="J147" s="3"/>
      <c r="K147" s="12">
        <f>SUM(K145:K146)</f>
        <v>7.7142857142857144</v>
      </c>
      <c r="L147" s="3" t="s">
        <v>125</v>
      </c>
      <c r="N147" s="12">
        <f>SUM(N145:N146)</f>
        <v>0</v>
      </c>
      <c r="O147" s="3" t="s">
        <v>125</v>
      </c>
      <c r="Q147" s="12">
        <f>SUM(Q145:Q146)</f>
        <v>0</v>
      </c>
      <c r="R147" s="3" t="s">
        <v>125</v>
      </c>
      <c r="T147" s="51"/>
    </row>
    <row r="148" spans="2:24" ht="6.95" customHeight="1"/>
    <row r="149" spans="2:24" ht="16.5">
      <c r="C149" s="26" t="s">
        <v>118</v>
      </c>
      <c r="D149" s="27"/>
      <c r="E149" s="27"/>
      <c r="F149" s="27"/>
      <c r="G149" s="46"/>
      <c r="H149" s="27"/>
      <c r="I149" s="27"/>
      <c r="J149" s="46"/>
      <c r="K149" s="27"/>
      <c r="L149" s="27"/>
      <c r="N149" s="27"/>
      <c r="O149" s="27"/>
      <c r="Q149" s="27"/>
      <c r="R149" s="27"/>
    </row>
    <row r="150" spans="2:24">
      <c r="D150" t="s">
        <v>119</v>
      </c>
      <c r="E150" s="19">
        <f>IFERROR(E20*E19/E30,0)</f>
        <v>0</v>
      </c>
      <c r="F150" t="s">
        <v>125</v>
      </c>
      <c r="H150" s="19">
        <f>IFERROR(H20*H19/H30,0)</f>
        <v>0</v>
      </c>
      <c r="I150" t="s">
        <v>125</v>
      </c>
      <c r="K150" s="19">
        <f>IFERROR(K20*K19/K30,0)</f>
        <v>22.857142857142858</v>
      </c>
      <c r="L150" t="s">
        <v>125</v>
      </c>
      <c r="N150" s="19">
        <f>IFERROR(N20*N19/N30,0)</f>
        <v>0</v>
      </c>
      <c r="O150" t="s">
        <v>125</v>
      </c>
      <c r="Q150" s="19">
        <f>IFERROR(Q20*Q19/Q30,0)</f>
        <v>0</v>
      </c>
      <c r="R150" t="s">
        <v>125</v>
      </c>
      <c r="T150" s="51"/>
    </row>
    <row r="151" spans="2:24" ht="16.5">
      <c r="D151" t="s">
        <v>120</v>
      </c>
      <c r="E151" s="11">
        <f>IFERROR($E110*(SUM(E19,E22)/SUM($E$19,$H$19,$K$19,$N$19,$Q$19,$E$22,$H$22,$K$22,$N$22,$Q$22))/E30,0)</f>
        <v>25</v>
      </c>
      <c r="F151" t="s">
        <v>125</v>
      </c>
      <c r="H151" s="11">
        <f>IFERROR($E110*(SUM(H19,H22)/SUM($E$19,$H$19,$K$19,$N$19,$Q$19,$E$22,$H$22,$K$22,$N$22,$Q$22))/H30,0)</f>
        <v>27.777777777777779</v>
      </c>
      <c r="I151" t="s">
        <v>125</v>
      </c>
      <c r="K151" s="11">
        <f>IFERROR($E110*(SUM(K19,K22)/SUM($E$19,$H$19,$K$19,$N$19,$Q$19,$E$22,$H$22,$K$22,$N$22,$Q$22))/K30,0)</f>
        <v>14.285714285714286</v>
      </c>
      <c r="L151" t="s">
        <v>125</v>
      </c>
      <c r="N151" s="11">
        <f>IFERROR($E110*(SUM(N19,N22)/SUM($E$19,$H$19,$K$19,$N$19,$Q$19,$E$22,$H$22,$K$22,$N$22,$Q$22))/N30,0)</f>
        <v>0</v>
      </c>
      <c r="O151" t="s">
        <v>125</v>
      </c>
      <c r="Q151" s="11">
        <f>IFERROR($E110*(SUM(Q19,Q22)/SUM($E$19,$H$19,$K$19,$N$19,$Q$19,$E$22,$H$22,$K$22,$N$22,$Q$22))/Q30,0)</f>
        <v>0</v>
      </c>
      <c r="R151" t="s">
        <v>125</v>
      </c>
      <c r="T151" s="51"/>
    </row>
    <row r="152" spans="2:24" ht="16.5">
      <c r="D152" t="s">
        <v>121</v>
      </c>
      <c r="E152" s="11">
        <f>IFERROR(($E$87+$E$98)*(SUM(E19,E22)/SUM($E$19,$H$19,$K$19,$N$19,$Q$19,$E$22,$H$22,$K$22,$N$22,$Q$22))/E30,0)</f>
        <v>2.97</v>
      </c>
      <c r="F152" t="s">
        <v>125</v>
      </c>
      <c r="H152" s="11">
        <f>IFERROR(($E$87+$E$98)*(SUM(H19,H22)/SUM($E$19,$H$19,$K$19,$N$19,$Q$19,$E$22,$H$22,$K$22,$N$22,$Q$22))/H30,0)</f>
        <v>3.3</v>
      </c>
      <c r="I152" t="s">
        <v>125</v>
      </c>
      <c r="K152" s="11">
        <f>IFERROR(($E$87+$E$98)*(SUM(K19,K22)/SUM($E$19,$H$19,$K$19,$N$19,$Q$19,$E$22,$H$22,$K$22,$N$22,$Q$22))/K30,0)</f>
        <v>1.6971428571428571</v>
      </c>
      <c r="L152" t="s">
        <v>125</v>
      </c>
      <c r="N152" s="11">
        <f>IFERROR(($E$87+$E$98)*(SUM(N19,N22)/SUM($E$19,$H$19,$K$19,$N$19,$Q$19,$E$22,$H$22,$K$22,$N$22,$Q$22))/N30,0)</f>
        <v>0</v>
      </c>
      <c r="O152" t="s">
        <v>125</v>
      </c>
      <c r="Q152" s="11">
        <f>IFERROR(($E$87+$E$98)*(SUM(Q19,Q22)/SUM($E$19,$H$19,$K$19,$N$19,$Q$19,$E$22,$H$22,$K$22,$N$22,$Q$22))/Q30,0)</f>
        <v>0</v>
      </c>
      <c r="R152" t="s">
        <v>125</v>
      </c>
      <c r="T152" s="51"/>
    </row>
    <row r="153" spans="2:24">
      <c r="D153" s="3" t="s">
        <v>122</v>
      </c>
      <c r="E153" s="20">
        <f>SUM(E150:E152)</f>
        <v>27.97</v>
      </c>
      <c r="F153" s="3" t="s">
        <v>125</v>
      </c>
      <c r="G153" s="3"/>
      <c r="H153" s="12">
        <f>SUM(H150:H152)</f>
        <v>31.077777777777779</v>
      </c>
      <c r="I153" s="3" t="s">
        <v>125</v>
      </c>
      <c r="J153" s="3"/>
      <c r="K153" s="12">
        <f>SUM(K150:K152)</f>
        <v>38.840000000000003</v>
      </c>
      <c r="L153" s="3" t="s">
        <v>125</v>
      </c>
      <c r="N153" s="12">
        <f>SUM(N150:N152)</f>
        <v>0</v>
      </c>
      <c r="O153" s="3" t="s">
        <v>125</v>
      </c>
      <c r="Q153" s="12">
        <f>SUM(Q150:Q152)</f>
        <v>0</v>
      </c>
      <c r="R153" s="3" t="s">
        <v>125</v>
      </c>
    </row>
    <row r="154" spans="2:24" ht="7.5" customHeight="1"/>
    <row r="155" spans="2:24">
      <c r="C155" s="26" t="s">
        <v>126</v>
      </c>
      <c r="D155" s="26"/>
      <c r="E155" s="29">
        <f>SUM(E142,E147,E153)</f>
        <v>167.095</v>
      </c>
      <c r="F155" s="26" t="s">
        <v>125</v>
      </c>
      <c r="G155" s="47"/>
      <c r="H155" s="29">
        <f>SUM(H142,H147,H153)</f>
        <v>177.36746031746031</v>
      </c>
      <c r="I155" s="26" t="s">
        <v>125</v>
      </c>
      <c r="J155" s="47"/>
      <c r="K155" s="29">
        <f>SUM(K142,K147,K153)</f>
        <v>100.43523809523811</v>
      </c>
      <c r="L155" s="26" t="s">
        <v>125</v>
      </c>
      <c r="N155" s="29">
        <f>SUM(N142,N147,N153)</f>
        <v>0</v>
      </c>
      <c r="O155" s="26" t="s">
        <v>125</v>
      </c>
      <c r="Q155" s="29">
        <f>SUM(Q142,Q147,Q153)</f>
        <v>0</v>
      </c>
      <c r="R155" s="26" t="s">
        <v>125</v>
      </c>
    </row>
    <row r="156" spans="2:24" ht="7.5" customHeight="1"/>
    <row r="157" spans="2:24" ht="18.600000000000001">
      <c r="B157" s="30" t="s">
        <v>127</v>
      </c>
      <c r="C157" s="31"/>
      <c r="D157" s="31"/>
      <c r="E157" s="76"/>
      <c r="F157" s="31"/>
      <c r="G157" s="31"/>
      <c r="H157" s="76"/>
      <c r="I157" s="31"/>
      <c r="J157" s="31"/>
      <c r="K157" s="76"/>
      <c r="L157" s="31"/>
      <c r="M157" s="31"/>
      <c r="N157" s="76"/>
      <c r="O157" s="31"/>
      <c r="P157" s="31"/>
      <c r="Q157" s="76"/>
      <c r="R157" s="31"/>
      <c r="S157" s="31"/>
      <c r="T157" s="76"/>
      <c r="U157" s="31"/>
    </row>
    <row r="158" spans="2:24" ht="15.95" customHeight="1">
      <c r="B158" s="4"/>
      <c r="E158" s="85" t="str">
        <f>E15</f>
        <v>Field #1</v>
      </c>
      <c r="F158" s="85"/>
      <c r="G158" s="39"/>
      <c r="H158" s="85" t="str">
        <f>H15</f>
        <v>Field #2</v>
      </c>
      <c r="I158" s="85"/>
      <c r="J158" s="39"/>
      <c r="K158" s="85" t="str">
        <f>K15</f>
        <v>Field #3</v>
      </c>
      <c r="L158" s="85"/>
      <c r="N158" s="85" t="str">
        <f>N15</f>
        <v>Field #4</v>
      </c>
      <c r="O158" s="85"/>
      <c r="Q158" s="85" t="str">
        <f>Q15</f>
        <v>Field #5</v>
      </c>
      <c r="R158" s="85"/>
      <c r="T158" s="89" t="s">
        <v>128</v>
      </c>
      <c r="U158" s="90"/>
    </row>
    <row r="159" spans="2:24" ht="28.5" customHeight="1">
      <c r="B159" s="4"/>
      <c r="E159" s="85" t="str">
        <f>E16</f>
        <v>Alfalfa Hay</v>
      </c>
      <c r="F159" s="85"/>
      <c r="G159" s="39"/>
      <c r="H159" s="85" t="str">
        <f>H16</f>
        <v>Mixed Grass Hay</v>
      </c>
      <c r="I159" s="85"/>
      <c r="J159" s="39"/>
      <c r="K159" s="86" t="str">
        <f>K16</f>
        <v>Alfalfa-grass Baled Silage</v>
      </c>
      <c r="L159" s="86"/>
      <c r="N159" s="85">
        <f>N16</f>
        <v>0</v>
      </c>
      <c r="O159" s="85"/>
      <c r="Q159" s="85">
        <f>Q16</f>
        <v>0</v>
      </c>
      <c r="R159" s="85"/>
      <c r="T159" s="91"/>
      <c r="U159" s="92"/>
    </row>
    <row r="160" spans="2:24">
      <c r="C160" s="32" t="s">
        <v>110</v>
      </c>
      <c r="D160" s="32"/>
      <c r="E160" s="31"/>
      <c r="F160" s="31"/>
      <c r="H160" s="31"/>
      <c r="I160" s="31"/>
      <c r="K160" s="31"/>
      <c r="L160" s="31"/>
      <c r="N160" s="31"/>
      <c r="O160" s="31"/>
      <c r="Q160" s="31"/>
      <c r="R160" s="31"/>
      <c r="T160" s="53"/>
      <c r="U160" s="54"/>
    </row>
    <row r="161" spans="3:25">
      <c r="C161" s="3"/>
      <c r="D161" t="s">
        <v>111</v>
      </c>
      <c r="E161" s="11">
        <f>IFERROR(E139/E$28,0)</f>
        <v>44.943820224719097</v>
      </c>
      <c r="F161" t="s">
        <v>125</v>
      </c>
      <c r="H161" s="11">
        <f>IFERROR(H139/H$28,0)</f>
        <v>46.81647940074906</v>
      </c>
      <c r="I161" t="s">
        <v>125</v>
      </c>
      <c r="K161" s="11">
        <f>IFERROR(K139/K$28,0)</f>
        <v>0</v>
      </c>
      <c r="L161" t="s">
        <v>125</v>
      </c>
      <c r="N161" s="10">
        <f>IFERROR(N139/N$28,0)</f>
        <v>0</v>
      </c>
      <c r="O161" t="s">
        <v>125</v>
      </c>
      <c r="Q161" s="11">
        <f>IFERROR(Q139/Q$28,0)</f>
        <v>0</v>
      </c>
      <c r="R161" t="s">
        <v>125</v>
      </c>
      <c r="T161" s="55">
        <f>SUM(E22*E23,H22*H23,K22*K23,N22*N23,Q22*Q23)/SUM(E$31,H$31,K$31,N$31,Q$31)</f>
        <v>34.155034155034159</v>
      </c>
      <c r="U161" s="52" t="s">
        <v>125</v>
      </c>
    </row>
    <row r="162" spans="3:25">
      <c r="D162" t="s">
        <v>129</v>
      </c>
      <c r="E162" s="11">
        <f>IFERROR(E140/E$28,0)</f>
        <v>35.674157303370784</v>
      </c>
      <c r="F162" t="s">
        <v>125</v>
      </c>
      <c r="H162" s="11">
        <f t="shared" ref="H162:H164" si="0">IFERROR(H140/H$28,0)</f>
        <v>33.440342429106472</v>
      </c>
      <c r="I162" t="s">
        <v>125</v>
      </c>
      <c r="K162" s="11">
        <f t="shared" ref="K162:K164" si="1">IFERROR(K140/K$28,0)</f>
        <v>46.19047619047619</v>
      </c>
      <c r="L162" t="s">
        <v>125</v>
      </c>
      <c r="N162" s="11">
        <f>IFERROR(N140/N$28,0)</f>
        <v>0</v>
      </c>
      <c r="O162" t="s">
        <v>125</v>
      </c>
      <c r="Q162" s="11">
        <f>IFERROR(Q140/Q$28,0)</f>
        <v>0</v>
      </c>
      <c r="R162" t="s">
        <v>125</v>
      </c>
      <c r="T162" s="55">
        <f>(E162*E$31+H162*H$31+K162*K$31+N162*N$31+Q162*Q$31)/SUM(E$31,H$31,K$31,N$31,Q$31)</f>
        <v>37.344251629965918</v>
      </c>
      <c r="U162" s="52" t="s">
        <v>125</v>
      </c>
      <c r="V162" s="51"/>
    </row>
    <row r="163" spans="3:25">
      <c r="D163" t="s">
        <v>130</v>
      </c>
      <c r="E163" s="11">
        <f>IFERROR(E141/E$28,0)</f>
        <v>60.533707865168537</v>
      </c>
      <c r="F163" t="s">
        <v>125</v>
      </c>
      <c r="H163" s="11">
        <f t="shared" si="0"/>
        <v>67.259675405742826</v>
      </c>
      <c r="I163" t="s">
        <v>125</v>
      </c>
      <c r="K163" s="11">
        <f t="shared" si="1"/>
        <v>61.571428571428569</v>
      </c>
      <c r="L163" t="s">
        <v>125</v>
      </c>
      <c r="N163" s="11">
        <f>IFERROR(N141/N$28,0)</f>
        <v>0</v>
      </c>
      <c r="O163" t="s">
        <v>125</v>
      </c>
      <c r="Q163" s="11">
        <f>IFERROR(Q141/Q$28,0)</f>
        <v>0</v>
      </c>
      <c r="R163" t="s">
        <v>125</v>
      </c>
      <c r="T163" s="55">
        <f>(E74+E105)/SUM(E$31,H$31,K$31,N$31,Q$31)</f>
        <v>64.003564003564009</v>
      </c>
      <c r="U163" s="52" t="s">
        <v>125</v>
      </c>
    </row>
    <row r="164" spans="3:25">
      <c r="D164" s="3" t="s">
        <v>114</v>
      </c>
      <c r="E164" s="12">
        <f>IFERROR(E142/E$28,0)</f>
        <v>141.15168539325842</v>
      </c>
      <c r="F164" s="3" t="s">
        <v>125</v>
      </c>
      <c r="G164" s="3"/>
      <c r="H164" s="12">
        <f t="shared" si="0"/>
        <v>147.51649723559834</v>
      </c>
      <c r="I164" s="3" t="s">
        <v>125</v>
      </c>
      <c r="J164" s="3"/>
      <c r="K164" s="12">
        <f t="shared" si="1"/>
        <v>107.76190476190476</v>
      </c>
      <c r="L164" s="3" t="s">
        <v>125</v>
      </c>
      <c r="N164" s="12">
        <f>IFERROR(N142/N$28,0)</f>
        <v>0</v>
      </c>
      <c r="O164" s="3" t="s">
        <v>125</v>
      </c>
      <c r="Q164" s="12">
        <f>IFERROR(Q142/Q$28,0)</f>
        <v>0</v>
      </c>
      <c r="R164" s="3" t="s">
        <v>125</v>
      </c>
      <c r="T164" s="56">
        <f>SUM(T161:T163)</f>
        <v>135.50284978856408</v>
      </c>
      <c r="U164" s="57" t="s">
        <v>125</v>
      </c>
      <c r="V164" s="72"/>
      <c r="W164" s="72"/>
      <c r="X164" s="72"/>
      <c r="Y164" s="72"/>
    </row>
    <row r="165" spans="3:25" ht="6" customHeight="1">
      <c r="D165" s="3"/>
      <c r="T165" s="58"/>
      <c r="U165" s="52"/>
    </row>
    <row r="166" spans="3:25">
      <c r="C166" s="32" t="s">
        <v>131</v>
      </c>
      <c r="D166" s="31"/>
      <c r="E166" s="31"/>
      <c r="F166" s="31"/>
      <c r="H166" s="31"/>
      <c r="I166" s="31"/>
      <c r="K166" s="31"/>
      <c r="L166" s="31"/>
      <c r="N166" s="31"/>
      <c r="O166" s="31"/>
      <c r="Q166" s="31"/>
      <c r="R166" s="31"/>
      <c r="T166" s="53"/>
      <c r="U166" s="54"/>
    </row>
    <row r="167" spans="3:25">
      <c r="D167" t="s">
        <v>116</v>
      </c>
      <c r="E167" s="11">
        <f>IFERROR(E145/E$28,0)</f>
        <v>15.168539325842696</v>
      </c>
      <c r="F167" t="s">
        <v>125</v>
      </c>
      <c r="H167" s="11">
        <f>IFERROR(H145/H$28,0)</f>
        <v>16.853932584269664</v>
      </c>
      <c r="I167" t="s">
        <v>125</v>
      </c>
      <c r="K167" s="11">
        <f>IFERROR(K145/K$28,0)</f>
        <v>15.428571428571429</v>
      </c>
      <c r="L167" t="s">
        <v>125</v>
      </c>
      <c r="N167" s="11">
        <f>IFERROR(N145/N$28,0)</f>
        <v>0</v>
      </c>
      <c r="O167" t="s">
        <v>125</v>
      </c>
      <c r="Q167" s="11">
        <f>IFERROR(Q145/Q$28,0)</f>
        <v>0</v>
      </c>
      <c r="R167" t="s">
        <v>125</v>
      </c>
      <c r="T167" s="55">
        <f>E86/SUM(E$31,H$31,K$31,N$31,Q$31)</f>
        <v>16.038016038016039</v>
      </c>
      <c r="U167" s="52" t="s">
        <v>125</v>
      </c>
    </row>
    <row r="168" spans="3:25">
      <c r="D168" t="s">
        <v>132</v>
      </c>
      <c r="E168" s="11">
        <f t="shared" ref="E168:E169" si="2">IFERROR(E146/E$28,0)</f>
        <v>0</v>
      </c>
      <c r="F168" t="s">
        <v>125</v>
      </c>
      <c r="H168" s="11">
        <f t="shared" ref="H168:H169" si="3">IFERROR(H146/H$28,0)</f>
        <v>0</v>
      </c>
      <c r="I168" t="s">
        <v>125</v>
      </c>
      <c r="K168" s="11">
        <f t="shared" ref="K168:K169" si="4">IFERROR(K146/K$28,0)</f>
        <v>0</v>
      </c>
      <c r="L168" t="s">
        <v>125</v>
      </c>
      <c r="N168" s="11">
        <f t="shared" ref="N168:N169" si="5">IFERROR(N146/N$28,0)</f>
        <v>0</v>
      </c>
      <c r="O168" t="s">
        <v>125</v>
      </c>
      <c r="Q168" s="11">
        <f t="shared" ref="Q168:Q169" si="6">IFERROR(Q146/Q$28,0)</f>
        <v>0</v>
      </c>
      <c r="R168" t="s">
        <v>125</v>
      </c>
      <c r="T168" s="55">
        <f>E97/SUM(E$31,H$31,K$31,N$31,Q$31)</f>
        <v>0</v>
      </c>
      <c r="U168" s="52" t="s">
        <v>125</v>
      </c>
    </row>
    <row r="169" spans="3:25">
      <c r="D169" s="3" t="s">
        <v>117</v>
      </c>
      <c r="E169" s="12">
        <f t="shared" si="2"/>
        <v>15.168539325842696</v>
      </c>
      <c r="F169" s="3" t="s">
        <v>125</v>
      </c>
      <c r="G169" s="3"/>
      <c r="H169" s="12">
        <f t="shared" si="3"/>
        <v>16.853932584269664</v>
      </c>
      <c r="I169" s="3" t="s">
        <v>125</v>
      </c>
      <c r="J169" s="3"/>
      <c r="K169" s="12">
        <f t="shared" si="4"/>
        <v>15.428571428571429</v>
      </c>
      <c r="L169" s="3" t="s">
        <v>125</v>
      </c>
      <c r="N169" s="12">
        <f t="shared" si="5"/>
        <v>0</v>
      </c>
      <c r="O169" s="3" t="s">
        <v>125</v>
      </c>
      <c r="Q169" s="12">
        <f t="shared" si="6"/>
        <v>0</v>
      </c>
      <c r="R169" s="3" t="s">
        <v>125</v>
      </c>
      <c r="T169" s="56">
        <f>SUM(T167:T168)</f>
        <v>16.038016038016039</v>
      </c>
      <c r="U169" s="57" t="s">
        <v>125</v>
      </c>
      <c r="V169" s="70"/>
    </row>
    <row r="170" spans="3:25" ht="6.95" customHeight="1">
      <c r="T170" s="58"/>
      <c r="U170" s="52"/>
    </row>
    <row r="171" spans="3:25">
      <c r="C171" s="32" t="s">
        <v>133</v>
      </c>
      <c r="D171" s="31"/>
      <c r="E171" s="31"/>
      <c r="F171" s="31"/>
      <c r="H171" s="31"/>
      <c r="I171" s="31"/>
      <c r="K171" s="31"/>
      <c r="L171" s="31"/>
      <c r="N171" s="31"/>
      <c r="O171" s="31"/>
      <c r="Q171" s="31"/>
      <c r="R171" s="31"/>
      <c r="T171" s="53"/>
      <c r="U171" s="54"/>
    </row>
    <row r="172" spans="3:25">
      <c r="D172" t="s">
        <v>119</v>
      </c>
      <c r="E172" s="11">
        <f>IFERROR(E150/E$28,0)</f>
        <v>0</v>
      </c>
      <c r="F172" t="s">
        <v>125</v>
      </c>
      <c r="H172" s="11">
        <f>IFERROR(H150/H$28,0)</f>
        <v>0</v>
      </c>
      <c r="I172" t="s">
        <v>125</v>
      </c>
      <c r="K172" s="11">
        <f>IFERROR(K150/K$28,0)</f>
        <v>45.714285714285715</v>
      </c>
      <c r="L172" t="s">
        <v>125</v>
      </c>
      <c r="N172" s="11">
        <f>IFERROR(N150/N$28,0)</f>
        <v>0</v>
      </c>
      <c r="O172" t="s">
        <v>125</v>
      </c>
      <c r="Q172" s="11">
        <f>IFERROR(Q150/Q$28,0)</f>
        <v>0</v>
      </c>
      <c r="R172" t="s">
        <v>125</v>
      </c>
      <c r="T172" s="55">
        <f>(E19*E20+H19*H20+K19*K20+N19*N20+Q19*Q20)/SUM(E$31,H$31,K$31,N$31,Q$31)</f>
        <v>11.88001188001188</v>
      </c>
      <c r="U172" s="52" t="s">
        <v>125</v>
      </c>
    </row>
    <row r="173" spans="3:25">
      <c r="D173" t="s">
        <v>134</v>
      </c>
      <c r="E173" s="11">
        <f t="shared" ref="E173:E175" si="7">IFERROR(E151/E$28,0)</f>
        <v>28.089887640449437</v>
      </c>
      <c r="F173" t="s">
        <v>125</v>
      </c>
      <c r="H173" s="11">
        <f t="shared" ref="H173:H175" si="8">IFERROR(H151/H$28,0)</f>
        <v>31.210986267166042</v>
      </c>
      <c r="I173" t="s">
        <v>125</v>
      </c>
      <c r="K173" s="11">
        <f t="shared" ref="K173:K175" si="9">IFERROR(K151/K$28,0)</f>
        <v>28.571428571428573</v>
      </c>
      <c r="L173" t="s">
        <v>125</v>
      </c>
      <c r="N173" s="11">
        <f>IFERROR(N151/N$28,0)</f>
        <v>0</v>
      </c>
      <c r="O173" t="s">
        <v>125</v>
      </c>
      <c r="Q173" s="11">
        <f t="shared" ref="Q173:Q175" si="10">IFERROR(Q151/Q$28,0)</f>
        <v>0</v>
      </c>
      <c r="R173" t="s">
        <v>125</v>
      </c>
      <c r="T173" s="55">
        <f>E110/SUM(E$31,H$31,K$31,N$31,Q$31)</f>
        <v>29.700029700029702</v>
      </c>
      <c r="U173" s="52" t="s">
        <v>125</v>
      </c>
      <c r="X173" s="9"/>
    </row>
    <row r="174" spans="3:25">
      <c r="D174" t="s">
        <v>135</v>
      </c>
      <c r="E174" s="11">
        <f t="shared" si="7"/>
        <v>3.3370786516853936</v>
      </c>
      <c r="F174" t="s">
        <v>125</v>
      </c>
      <c r="H174" s="11">
        <f t="shared" si="8"/>
        <v>3.7078651685393256</v>
      </c>
      <c r="I174" t="s">
        <v>125</v>
      </c>
      <c r="K174" s="11">
        <f t="shared" si="9"/>
        <v>3.3942857142857141</v>
      </c>
      <c r="L174" t="s">
        <v>125</v>
      </c>
      <c r="N174" s="11">
        <f>IFERROR(N152/N$28,0)</f>
        <v>0</v>
      </c>
      <c r="O174" t="s">
        <v>125</v>
      </c>
      <c r="Q174" s="11">
        <f t="shared" si="10"/>
        <v>0</v>
      </c>
      <c r="R174" t="s">
        <v>125</v>
      </c>
      <c r="T174" s="55">
        <f>SUM(E87,E98)/SUM(E$31,H$31,K$31,N$31,Q$31)</f>
        <v>3.5283635283635286</v>
      </c>
      <c r="U174" s="52" t="s">
        <v>125</v>
      </c>
    </row>
    <row r="175" spans="3:25">
      <c r="D175" s="3" t="s">
        <v>122</v>
      </c>
      <c r="E175" s="12">
        <f t="shared" si="7"/>
        <v>31.426966292134829</v>
      </c>
      <c r="F175" s="3" t="s">
        <v>125</v>
      </c>
      <c r="G175" s="3"/>
      <c r="H175" s="12">
        <f t="shared" si="8"/>
        <v>34.918851435705371</v>
      </c>
      <c r="I175" s="3" t="s">
        <v>125</v>
      </c>
      <c r="J175" s="3"/>
      <c r="K175" s="12">
        <f t="shared" si="9"/>
        <v>77.680000000000007</v>
      </c>
      <c r="L175" s="3" t="s">
        <v>125</v>
      </c>
      <c r="N175" s="12">
        <f>IFERROR(N153/N$28,0)</f>
        <v>0</v>
      </c>
      <c r="O175" s="3" t="s">
        <v>125</v>
      </c>
      <c r="Q175" s="12">
        <f t="shared" si="10"/>
        <v>0</v>
      </c>
      <c r="R175" s="3" t="s">
        <v>125</v>
      </c>
      <c r="T175" s="56">
        <f>SUM(T172:T174)</f>
        <v>45.108405108405108</v>
      </c>
      <c r="U175" s="57" t="s">
        <v>125</v>
      </c>
      <c r="V175" s="49"/>
    </row>
    <row r="176" spans="3:25" ht="7.5" customHeight="1">
      <c r="T176" s="58"/>
      <c r="U176" s="52"/>
    </row>
    <row r="177" spans="3:29">
      <c r="C177" s="32" t="s">
        <v>136</v>
      </c>
      <c r="D177" s="32"/>
      <c r="E177" s="33">
        <f>SUM(E164,E169,E175)</f>
        <v>187.74719101123594</v>
      </c>
      <c r="F177" s="32" t="s">
        <v>125</v>
      </c>
      <c r="G177" s="3"/>
      <c r="H177" s="33">
        <f>SUM(H164,H169,H175)</f>
        <v>199.28928125557337</v>
      </c>
      <c r="I177" s="32" t="s">
        <v>125</v>
      </c>
      <c r="J177" s="3"/>
      <c r="K177" s="33">
        <f>SUM(K164,K169,K175)</f>
        <v>200.87047619047621</v>
      </c>
      <c r="L177" s="32" t="s">
        <v>125</v>
      </c>
      <c r="N177" s="33">
        <f>SUM(N164,N169,N175)</f>
        <v>0</v>
      </c>
      <c r="O177" s="32" t="s">
        <v>125</v>
      </c>
      <c r="Q177" s="33">
        <f>SUM(Q164,Q169,Q175)</f>
        <v>0</v>
      </c>
      <c r="R177" s="32" t="s">
        <v>125</v>
      </c>
      <c r="T177" s="59">
        <f>SUM(T164,T169,T175)</f>
        <v>196.64927093498522</v>
      </c>
      <c r="U177" s="60" t="s">
        <v>125</v>
      </c>
      <c r="Y177" s="51"/>
      <c r="Z177" s="51"/>
      <c r="AA177" s="51"/>
      <c r="AC177" s="51"/>
    </row>
    <row r="178" spans="3:29" ht="13.5" customHeight="1"/>
    <row r="179" spans="3:29" ht="13.5" customHeight="1"/>
    <row r="180" spans="3:29" ht="13.5" customHeight="1"/>
    <row r="181" spans="3:29" ht="13.5" customHeight="1"/>
    <row r="182" spans="3:29" ht="13.5" customHeight="1"/>
    <row r="183" spans="3:29" ht="13.5" customHeight="1"/>
    <row r="184" spans="3:29" ht="13.5" customHeight="1"/>
    <row r="185" spans="3:29" ht="13.5" customHeight="1"/>
    <row r="186" spans="3:29" ht="13.5" customHeight="1"/>
    <row r="187" spans="3:29" ht="13.5" customHeight="1"/>
    <row r="188" spans="3:29" ht="13.5" customHeight="1"/>
    <row r="189" spans="3:29" ht="13.5" customHeight="1"/>
    <row r="190" spans="3:29" ht="13.5" customHeight="1"/>
    <row r="191" spans="3:29" ht="13.5" customHeight="1"/>
    <row r="192" spans="3:29" ht="13.5" customHeight="1"/>
    <row r="193" spans="4:21" ht="2.1" customHeight="1"/>
    <row r="194" spans="4:21">
      <c r="D194" s="74" t="s">
        <v>137</v>
      </c>
      <c r="E194" s="17"/>
      <c r="F194" s="17"/>
      <c r="G194" s="17"/>
      <c r="H194" s="17"/>
      <c r="I194" s="17"/>
      <c r="J194" s="17"/>
      <c r="K194" s="17"/>
      <c r="L194" s="17"/>
      <c r="M194" s="17"/>
      <c r="N194" s="17"/>
      <c r="O194" s="17"/>
      <c r="P194" s="17"/>
      <c r="Q194" s="17"/>
      <c r="R194" s="17"/>
      <c r="S194" s="17"/>
      <c r="T194" s="17"/>
      <c r="U194" s="17"/>
    </row>
    <row r="195" spans="4:21" ht="14.45" customHeight="1">
      <c r="D195" s="93" t="s">
        <v>138</v>
      </c>
      <c r="E195" s="93"/>
      <c r="F195" s="93"/>
      <c r="G195" s="93"/>
      <c r="H195" s="93"/>
      <c r="I195" s="93"/>
      <c r="J195" s="93"/>
      <c r="K195" s="93"/>
      <c r="L195" s="93"/>
      <c r="M195" s="93"/>
      <c r="N195" s="93"/>
      <c r="O195" s="93"/>
      <c r="P195" s="93"/>
      <c r="Q195" s="93"/>
      <c r="R195" s="93"/>
      <c r="S195" s="93"/>
      <c r="T195" s="93"/>
      <c r="U195" s="93"/>
    </row>
    <row r="196" spans="4:21" ht="14.45" customHeight="1">
      <c r="D196" s="93" t="s">
        <v>139</v>
      </c>
      <c r="E196" s="93"/>
      <c r="F196" s="93"/>
      <c r="G196" s="93"/>
      <c r="H196" s="93"/>
      <c r="I196" s="93"/>
      <c r="J196" s="93"/>
      <c r="K196" s="93"/>
      <c r="L196" s="93"/>
      <c r="M196" s="93"/>
      <c r="N196" s="93"/>
      <c r="O196" s="93"/>
      <c r="P196" s="93"/>
      <c r="Q196" s="93"/>
      <c r="R196" s="93"/>
      <c r="S196" s="93"/>
      <c r="T196" s="93"/>
      <c r="U196" s="93"/>
    </row>
    <row r="197" spans="4:21" ht="12.6" customHeight="1">
      <c r="D197" s="94" t="s">
        <v>140</v>
      </c>
      <c r="E197" s="94"/>
      <c r="F197" s="94"/>
      <c r="G197" s="94"/>
      <c r="H197" s="94"/>
      <c r="I197" s="94"/>
      <c r="J197" s="94"/>
      <c r="K197" s="94"/>
      <c r="L197" s="94"/>
      <c r="M197" s="94"/>
      <c r="N197" s="94"/>
      <c r="O197" s="94"/>
      <c r="P197" s="94"/>
      <c r="Q197" s="94"/>
      <c r="R197" s="94"/>
      <c r="S197" s="94"/>
      <c r="T197" s="94"/>
      <c r="U197" s="94"/>
    </row>
    <row r="198" spans="4:21" ht="14.45" customHeight="1">
      <c r="D198" s="93" t="s">
        <v>141</v>
      </c>
      <c r="E198" s="93"/>
      <c r="F198" s="93"/>
      <c r="G198" s="93"/>
      <c r="H198" s="93"/>
      <c r="I198" s="93"/>
      <c r="J198" s="93"/>
      <c r="K198" s="93"/>
      <c r="L198" s="93"/>
      <c r="M198" s="93"/>
      <c r="N198" s="93"/>
      <c r="O198" s="93"/>
      <c r="P198" s="93"/>
      <c r="Q198" s="93"/>
      <c r="R198" s="93"/>
      <c r="S198" s="93"/>
      <c r="T198" s="93"/>
      <c r="U198" s="93"/>
    </row>
    <row r="199" spans="4:21" ht="14.45" customHeight="1">
      <c r="D199" s="93" t="s">
        <v>142</v>
      </c>
      <c r="E199" s="93"/>
      <c r="F199" s="93"/>
      <c r="G199" s="93"/>
      <c r="H199" s="93"/>
      <c r="I199" s="93"/>
      <c r="J199" s="93"/>
      <c r="K199" s="93"/>
      <c r="L199" s="93"/>
      <c r="M199" s="93"/>
      <c r="N199" s="93"/>
      <c r="O199" s="93"/>
      <c r="P199" s="93"/>
      <c r="Q199" s="93"/>
      <c r="R199" s="93"/>
      <c r="S199" s="93"/>
      <c r="T199" s="93"/>
      <c r="U199" s="93"/>
    </row>
    <row r="200" spans="4:21" ht="14.45" customHeight="1">
      <c r="D200" s="87" t="s">
        <v>143</v>
      </c>
      <c r="E200" s="87"/>
      <c r="F200" s="87"/>
      <c r="G200" s="87"/>
      <c r="H200" s="87"/>
      <c r="I200" s="87"/>
      <c r="J200" s="87"/>
      <c r="K200" s="87"/>
      <c r="L200" s="87"/>
      <c r="M200" s="87"/>
      <c r="N200" s="87"/>
      <c r="O200" s="87"/>
      <c r="P200" s="87"/>
      <c r="Q200" s="87"/>
      <c r="R200" s="87"/>
      <c r="S200" s="87"/>
      <c r="T200" s="87"/>
      <c r="U200" s="87"/>
    </row>
    <row r="201" spans="4:21" ht="14.1" customHeight="1">
      <c r="D201" s="87" t="s">
        <v>144</v>
      </c>
      <c r="E201" s="87"/>
      <c r="F201" s="87"/>
      <c r="G201" s="87"/>
      <c r="H201" s="87"/>
      <c r="I201" s="87"/>
      <c r="J201" s="87"/>
      <c r="K201" s="87"/>
      <c r="L201" s="87"/>
      <c r="M201" s="87"/>
      <c r="N201" s="87"/>
      <c r="O201" s="87"/>
      <c r="P201" s="87"/>
      <c r="Q201" s="87"/>
      <c r="R201" s="87"/>
      <c r="S201" s="87"/>
      <c r="T201" s="87"/>
      <c r="U201" s="87"/>
    </row>
    <row r="202" spans="4:21" ht="12" customHeight="1">
      <c r="D202" s="87" t="s">
        <v>145</v>
      </c>
      <c r="E202" s="87"/>
      <c r="F202" s="87"/>
      <c r="G202" s="87"/>
      <c r="H202" s="87"/>
      <c r="I202" s="87"/>
      <c r="J202" s="87"/>
      <c r="K202" s="87"/>
      <c r="L202" s="87"/>
      <c r="M202" s="87"/>
      <c r="N202" s="87"/>
      <c r="O202" s="87"/>
      <c r="P202" s="87"/>
      <c r="Q202" s="87"/>
      <c r="R202" s="87"/>
      <c r="S202" s="87"/>
      <c r="T202" s="87"/>
      <c r="U202" s="87"/>
    </row>
    <row r="203" spans="4:21">
      <c r="D203" s="36"/>
    </row>
    <row r="204" spans="4:21">
      <c r="D204" s="37"/>
    </row>
    <row r="205" spans="4:21">
      <c r="D205" s="37"/>
    </row>
  </sheetData>
  <mergeCells count="44">
    <mergeCell ref="N114:O114"/>
    <mergeCell ref="Q114:R114"/>
    <mergeCell ref="E115:F115"/>
    <mergeCell ref="H115:I115"/>
    <mergeCell ref="K115:L115"/>
    <mergeCell ref="N115:O115"/>
    <mergeCell ref="Q115:R115"/>
    <mergeCell ref="D195:U195"/>
    <mergeCell ref="D196:U196"/>
    <mergeCell ref="D197:U197"/>
    <mergeCell ref="D198:U198"/>
    <mergeCell ref="D199:U199"/>
    <mergeCell ref="D200:U200"/>
    <mergeCell ref="D201:U201"/>
    <mergeCell ref="D202:U202"/>
    <mergeCell ref="T25:U25"/>
    <mergeCell ref="T18:U18"/>
    <mergeCell ref="N158:O158"/>
    <mergeCell ref="Q158:R158"/>
    <mergeCell ref="T158:U158"/>
    <mergeCell ref="E159:F159"/>
    <mergeCell ref="H159:I159"/>
    <mergeCell ref="K159:L159"/>
    <mergeCell ref="N159:O159"/>
    <mergeCell ref="Q159:R159"/>
    <mergeCell ref="T159:U159"/>
    <mergeCell ref="Q137:R137"/>
    <mergeCell ref="E136:F136"/>
    <mergeCell ref="N136:O136"/>
    <mergeCell ref="Q136:R136"/>
    <mergeCell ref="E137:F137"/>
    <mergeCell ref="H137:I137"/>
    <mergeCell ref="K137:L137"/>
    <mergeCell ref="N137:O137"/>
    <mergeCell ref="C45:D45"/>
    <mergeCell ref="C33:D33"/>
    <mergeCell ref="E158:F158"/>
    <mergeCell ref="H158:I158"/>
    <mergeCell ref="K158:L158"/>
    <mergeCell ref="H136:I136"/>
    <mergeCell ref="K136:L136"/>
    <mergeCell ref="E114:F114"/>
    <mergeCell ref="H114:I114"/>
    <mergeCell ref="K114:L114"/>
  </mergeCells>
  <conditionalFormatting sqref="E26">
    <cfRule type="expression" dxfId="9" priority="5">
      <formula>F$17=0</formula>
    </cfRule>
  </conditionalFormatting>
  <conditionalFormatting sqref="E46:E52">
    <cfRule type="expression" dxfId="8" priority="11">
      <formula>F$17=0</formula>
    </cfRule>
  </conditionalFormatting>
  <conditionalFormatting sqref="H26">
    <cfRule type="expression" dxfId="7" priority="4">
      <formula>I$17=0</formula>
    </cfRule>
  </conditionalFormatting>
  <conditionalFormatting sqref="H46:H52">
    <cfRule type="expression" dxfId="6" priority="9">
      <formula>I$17=0</formula>
    </cfRule>
  </conditionalFormatting>
  <conditionalFormatting sqref="K26">
    <cfRule type="expression" dxfId="5" priority="3">
      <formula>L$17=0</formula>
    </cfRule>
  </conditionalFormatting>
  <conditionalFormatting sqref="K46:K52">
    <cfRule type="expression" dxfId="4" priority="8">
      <formula>L$17=0</formula>
    </cfRule>
  </conditionalFormatting>
  <conditionalFormatting sqref="N26">
    <cfRule type="expression" dxfId="3" priority="2">
      <formula>O$17=0</formula>
    </cfRule>
  </conditionalFormatting>
  <conditionalFormatting sqref="N46:N52">
    <cfRule type="expression" dxfId="2" priority="7">
      <formula>O$17=0</formula>
    </cfRule>
  </conditionalFormatting>
  <conditionalFormatting sqref="Q26">
    <cfRule type="expression" dxfId="1" priority="1">
      <formula>R$17=0</formula>
    </cfRule>
  </conditionalFormatting>
  <conditionalFormatting sqref="Q46:Q52">
    <cfRule type="expression" dxfId="0" priority="6">
      <formula>R$17=0</formula>
    </cfRule>
  </conditionalFormatting>
  <dataValidations disablePrompts="1" count="3">
    <dataValidation type="list" allowBlank="1" showInputMessage="1" showErrorMessage="1" sqref="Q17 N17 K17" xr:uid="{1A336805-FEFA-4DF2-A050-CB13BE641AD8}">
      <formula1>$B$17:$C$17</formula1>
    </dataValidation>
    <dataValidation type="list" errorStyle="warning" allowBlank="1" showErrorMessage="1" errorTitle="Annual or Perennial" error="This cell can only be &quot;Anuual&quot; or &quot;Perennial&quot;. _x000a_Please click the arrow on the right to select &quot;Annual&quot; or &quot;Perennial&quot; from the drop-down list." sqref="E17" xr:uid="{FF3B899A-6899-458C-A03F-B3E4843579E8}">
      <formula1>$B$17:$C$17</formula1>
    </dataValidation>
    <dataValidation type="list" errorStyle="warning" allowBlank="1" showInputMessage="1" showErrorMessage="1" errorTitle="Annual or Perennial" error="This cell can only be &quot;Anuual&quot; or &quot;Perennial&quot;. _x000a_Please click the arrow on the right to select &quot;Annual&quot; or &quot;Perennial&quot; from the drop-down list." sqref="H17" xr:uid="{7402DB10-5235-4303-8F43-1A4BC9FA9A21}">
      <formula1>$B$17:$C$17</formula1>
    </dataValidation>
  </dataValidations>
  <pageMargins left="0.7" right="0.7" top="0.75" bottom="0.75" header="0.3" footer="0.3"/>
  <pageSetup scale="40" orientation="landscape" r:id="rId1"/>
  <rowBreaks count="2" manualBreakCount="2">
    <brk id="54" max="20" man="1"/>
    <brk id="134" max="2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de526d9-6600-41fe-ac9f-b553f9b8b298">
      <Terms xmlns="http://schemas.microsoft.com/office/infopath/2007/PartnerControls"/>
    </lcf76f155ced4ddcb4097134ff3c332f>
    <TaxCatchAll xmlns="251cae61-8135-4a88-bc5f-8b47aaccd9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1157D3B8F73946A976B4BF8D028BA1" ma:contentTypeVersion="18" ma:contentTypeDescription="Create a new document." ma:contentTypeScope="" ma:versionID="90f1211ce1fcedcf0ffee23c4e0251e4">
  <xsd:schema xmlns:xsd="http://www.w3.org/2001/XMLSchema" xmlns:xs="http://www.w3.org/2001/XMLSchema" xmlns:p="http://schemas.microsoft.com/office/2006/metadata/properties" xmlns:ns2="4de526d9-6600-41fe-ac9f-b553f9b8b298" xmlns:ns3="251cae61-8135-4a88-bc5f-8b47aaccd9f5" targetNamespace="http://schemas.microsoft.com/office/2006/metadata/properties" ma:root="true" ma:fieldsID="c7202648f089093642f6672c4498485b" ns2:_="" ns3:_="">
    <xsd:import namespace="4de526d9-6600-41fe-ac9f-b553f9b8b298"/>
    <xsd:import namespace="251cae61-8135-4a88-bc5f-8b47aaccd9f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e526d9-6600-41fe-ac9f-b553f9b8b2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8d63e09-3cba-41a6-87ff-e4099718127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51cae61-8135-4a88-bc5f-8b47aaccd9f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2ea1c9-9b27-45a1-b808-2172d706383a}" ma:internalName="TaxCatchAll" ma:showField="CatchAllData" ma:web="251cae61-8135-4a88-bc5f-8b47aaccd9f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00D39-CDD4-468C-AB6B-7D0181F02228}"/>
</file>

<file path=customXml/itemProps2.xml><?xml version="1.0" encoding="utf-8"?>
<ds:datastoreItem xmlns:ds="http://schemas.openxmlformats.org/officeDocument/2006/customXml" ds:itemID="{5C1E8C59-C777-4FA3-99FB-0E3F8A4EAA52}"/>
</file>

<file path=customXml/itemProps3.xml><?xml version="1.0" encoding="utf-8"?>
<ds:datastoreItem xmlns:ds="http://schemas.openxmlformats.org/officeDocument/2006/customXml" ds:itemID="{F23486E8-108C-4E1F-9B2E-6ED54E8B823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Huiting Huang</dc:creator>
  <cp:keywords/>
  <dc:description/>
  <cp:lastModifiedBy/>
  <cp:revision/>
  <dcterms:created xsi:type="dcterms:W3CDTF">2024-03-18T19:30:29Z</dcterms:created>
  <dcterms:modified xsi:type="dcterms:W3CDTF">2024-12-27T17:49:03Z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0x0101005A1157D3B8F73946A976B4BF8D028BA1</vt:lpwstr>
  </property>
  <property fmtid="{D5CDD505-2E9C-101B-9397-08002B2CF9AE}" pid="3" name="MediaServiceImageTags">
    <vt:lpwstr/>
  </property>
</Properties>
</file>